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G:\Shared drives\Research Team\SBI Pro Content\Tools\"/>
    </mc:Choice>
  </mc:AlternateContent>
  <xr:revisionPtr revIDLastSave="0" documentId="13_ncr:1_{C55AC4CB-8EC2-40B7-BA06-B2F0F1E20914}" xr6:coauthVersionLast="47" xr6:coauthVersionMax="47" xr10:uidLastSave="{00000000-0000-0000-0000-000000000000}"/>
  <bookViews>
    <workbookView xWindow="384" yWindow="396" windowWidth="23028" windowHeight="13788" activeTab="1" xr2:uid="{CD982575-02F2-41A3-9546-AE72A3A8F579}"/>
  </bookViews>
  <sheets>
    <sheet name="Instructions" sheetId="3" r:id="rId1"/>
    <sheet name="Advanced Calculator"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4" i="1" l="1"/>
  <c r="AE15" i="1"/>
  <c r="AE14" i="1"/>
  <c r="F57" i="1"/>
  <c r="F53" i="1"/>
  <c r="F44" i="1"/>
  <c r="F43" i="1"/>
  <c r="F42" i="1"/>
  <c r="F39" i="1"/>
  <c r="F38" i="1"/>
  <c r="F37" i="1"/>
  <c r="I37" i="1"/>
  <c r="F36" i="1"/>
  <c r="I35" i="1"/>
  <c r="F33" i="1"/>
  <c r="F48" i="1" s="1"/>
  <c r="K33" i="1"/>
  <c r="L33" i="1" s="1"/>
  <c r="M33" i="1" s="1"/>
  <c r="N33" i="1" s="1"/>
  <c r="O33" i="1" s="1"/>
  <c r="P33" i="1" s="1"/>
  <c r="Q33" i="1" s="1"/>
  <c r="R33" i="1" s="1"/>
  <c r="S33" i="1" s="1"/>
  <c r="T33" i="1" s="1"/>
  <c r="U33" i="1" s="1"/>
  <c r="F27" i="1"/>
  <c r="F23" i="1"/>
  <c r="F14" i="1"/>
  <c r="F15" i="1" s="1"/>
  <c r="F13" i="1"/>
  <c r="F10" i="1"/>
  <c r="F9" i="1"/>
  <c r="F8" i="1"/>
  <c r="I8" i="1"/>
  <c r="F7" i="1"/>
  <c r="I6" i="1"/>
  <c r="F4" i="1"/>
  <c r="F18" i="1" s="1"/>
  <c r="Z9" i="1"/>
  <c r="K4" i="1"/>
  <c r="L4" i="1" s="1"/>
  <c r="M4" i="1" s="1"/>
  <c r="N4" i="1" s="1"/>
  <c r="O4" i="1" s="1"/>
  <c r="P4" i="1" s="1"/>
  <c r="Q4" i="1" s="1"/>
  <c r="R4" i="1" s="1"/>
  <c r="S4" i="1" s="1"/>
  <c r="T4" i="1" s="1"/>
  <c r="U4" i="1" s="1"/>
  <c r="Z8" i="1"/>
  <c r="AH15" i="1" l="1"/>
  <c r="AF16" i="1"/>
  <c r="F19" i="1"/>
  <c r="F20" i="1"/>
  <c r="F49" i="1"/>
  <c r="F45" i="1"/>
  <c r="F50" i="1" s="1"/>
  <c r="AF17" i="1" l="1"/>
  <c r="AE16" i="1"/>
  <c r="AH16" i="1"/>
  <c r="F51" i="1"/>
  <c r="F54" i="1" s="1"/>
  <c r="F55" i="1" s="1"/>
  <c r="F58" i="1" s="1"/>
  <c r="AI13" i="1" s="1"/>
  <c r="F21" i="1"/>
  <c r="Z12" i="1" s="1"/>
  <c r="AH17" i="1" l="1"/>
  <c r="AE17" i="1"/>
  <c r="AF18" i="1"/>
  <c r="I33" i="1"/>
  <c r="Z13" i="1"/>
  <c r="Z14" i="1" s="1"/>
  <c r="I4" i="1"/>
  <c r="Z10" i="1"/>
  <c r="F24" i="1"/>
  <c r="F25" i="1" s="1"/>
  <c r="F28" i="1" s="1"/>
  <c r="AG13" i="1" s="1"/>
  <c r="AH18" i="1" l="1"/>
  <c r="AE18" i="1"/>
  <c r="AF19" i="1"/>
  <c r="AH19" i="1" l="1"/>
  <c r="AE19" i="1"/>
  <c r="AF20" i="1"/>
  <c r="AH20" i="1" l="1"/>
  <c r="AE20" i="1"/>
  <c r="AF21" i="1"/>
  <c r="AH21" i="1" l="1"/>
  <c r="AF22" i="1"/>
  <c r="AE21" i="1"/>
  <c r="AE22" i="1" l="1"/>
  <c r="AH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tc={6485E0F7-81EC-4BBF-B375-FCCEB5B0E401}</author>
    <author>tc={06C4ABD7-23D9-483E-8B74-E2A34BD4C2B8}</author>
    <author>tc={D45D9AE5-98FA-468B-A736-4BDD80402845}</author>
    <author>tc={3F0B355B-3CC2-4C37-9CC7-74E372089487}</author>
    <author>tc={26DF7C20-2944-4D81-A3FF-3886BB177299}</author>
    <author>tc={ACC61211-5930-4D54-AFBA-7FCFC0A168F6}</author>
    <author>tc={FE37FED9-4BDA-4E40-9732-740371EC9136}</author>
    <author>tc={B6171244-5E97-4712-AA31-2C095036CD19}</author>
    <author>tc={DF9503AB-1578-45F2-A264-6541C621264A}</author>
  </authors>
  <commentList>
    <comment ref="B3" authorId="0" shapeId="0" xr:uid="{6485E0F7-81EC-4BBF-B375-FCCEB5B0E401}">
      <text>
        <t>[Threaded comment]
Your version of Excel allows you to read this threaded comment; however, any edits to it will get removed if the file is opened in a newer version of Excel. Learn more: https://go.microsoft.com/fwlink/?linkid=870924
Comment:
    How many months was the departing sales rep at the company?
Ex. If they were here for 3.5 years from their start date to their end date, then the rep's tenure was 42 months.
NOTE: 21.6 Months is the average tenure of an Enterprise sales rep.</t>
      </text>
    </comment>
    <comment ref="B4" authorId="1" shapeId="0" xr:uid="{06C4ABD7-23D9-483E-8B74-E2A34BD4C2B8}">
      <text>
        <t>[Threaded comment]
Your version of Excel allows you to read this threaded comment; however, any edits to it will get removed if the file is opened in a newer version of Excel. Learn more: https://go.microsoft.com/fwlink/?linkid=870924
Comment:
    OTE (On Target Earnings) = Base Salaray + Variable</t>
      </text>
    </comment>
    <comment ref="B5" authorId="2" shapeId="0" xr:uid="{D45D9AE5-98FA-468B-A736-4BDD80402845}">
      <text>
        <t>[Threaded comment]
Your version of Excel allows you to read this threaded comment; however, any edits to it will get removed if the file is opened in a newer version of Excel. Learn more: https://go.microsoft.com/fwlink/?linkid=870924
Comment:
    OTE (On Target Earnings) = Base Salaray + Variable</t>
      </text>
    </comment>
    <comment ref="B6" authorId="3" shapeId="0" xr:uid="{3F0B355B-3CC2-4C37-9CC7-74E372089487}">
      <text>
        <t>[Threaded comment]
Your version of Excel allows you to read this threaded comment; however, any edits to it will get removed if the file is opened in a newer version of Excel. Learn more: https://go.microsoft.com/fwlink/?linkid=870924
Comment:
    This model works off of annaul OTEs and Annual Quotas.
The annual quota is really designed for NEW business, but it can be used New, Renewal, Services, and more.</t>
      </text>
    </comment>
    <comment ref="B7" authorId="4" shapeId="0" xr:uid="{26DF7C20-2944-4D81-A3FF-3886BB177299}">
      <text>
        <t>[Threaded comment]
Your version of Excel allows you to read this threaded comment; however, any edits to it will get removed if the file is opened in a newer version of Excel. Learn more: https://go.microsoft.com/fwlink/?linkid=870924
Comment:
    Often when a sales rep departs, their entire pipeline is not lost as some of the pipeline is redestributed to other reps.  This input allows the you to modify how much of the pipeline is lost.
Generally, the larger the gap between sales reps, the larger the impact on the revenue lost, this model does not take that into account. It takes the input and applies it to the entire time when there is no sales rep in place.</t>
      </text>
    </comment>
    <comment ref="B8" authorId="5" shapeId="0" xr:uid="{ACC61211-5930-4D54-AFBA-7FCFC0A168F6}">
      <text>
        <t>[Threaded comment]
Your version of Excel allows you to read this threaded comment; however, any edits to it will get removed if the file is opened in a newer version of Excel. Learn more: https://go.microsoft.com/fwlink/?linkid=870924
Comment:
    Fully Ramp is not fully onboarded.  Fully Ramp means how long until this rep is hitting their full quota from their start date in months.
Often sales models and financial models will have a 6 months ramp, but the actual data shows that it can be a 3, 4 or even 5 quarters to fully ramp.  The example above is geared more towards Enterprise sales with long and complex sales cycles.  However, even in high velocity sales, with short sales cycles, the model ramp time is often less than the actual ramp time.</t>
      </text>
    </comment>
    <comment ref="B10" authorId="6" shapeId="0" xr:uid="{FE37FED9-4BDA-4E40-9732-740371EC9136}">
      <text>
        <t>[Threaded comment]
Your version of Excel allows you to read this threaded comment; however, any edits to it will get removed if the file is opened in a newer version of Excel. Learn more: https://go.microsoft.com/fwlink/?linkid=870924
Comment:
    If you have a subscription business, your existing business often grows.  A rule of tumb is that a high growth company will have a Net Revenue Retention above 130%. Meaning, the company will grow annually by 130% from only their existing customers.
If you don't have anyone selling NEW business, you can't get the growth on the NEW business.</t>
      </text>
    </comment>
    <comment ref="B12" authorId="7" shapeId="0" xr:uid="{B6171244-5E97-4712-AA31-2C095036CD19}">
      <text>
        <t>[Threaded comment]
Your version of Excel allows you to read this threaded comment; however, any edits to it will get removed if the file is opened in a newer version of Excel. Learn more: https://go.microsoft.com/fwlink/?linkid=870924
Comment:
    NOTE: 6.2 Months is the average months to backfill an Enterprise sales rep</t>
      </text>
    </comment>
    <comment ref="B14" authorId="8" shapeId="0" xr:uid="{DF9503AB-1578-45F2-A264-6541C621264A}">
      <text>
        <t>[Threaded comment]
Your version of Excel allows you to read this threaded comment; however, any edits to it will get removed if the file is opened in a newer version of Excel. Learn more: https://go.microsoft.com/fwlink/?linkid=870924
Comment:
    If a Head Hunter is used to find a replacement sales rep, their fee can often range anywhere from 10% to 40% of the ANNUAL OTE of the sales rep.  If you don't use a head hunter, enter 0%.</t>
      </text>
    </comment>
  </commentList>
</comments>
</file>

<file path=xl/sharedStrings.xml><?xml version="1.0" encoding="utf-8"?>
<sst xmlns="http://schemas.openxmlformats.org/spreadsheetml/2006/main" count="122" uniqueCount="88">
  <si>
    <t>EXTERNAL HIRE</t>
  </si>
  <si>
    <t>Statement</t>
  </si>
  <si>
    <t># or $</t>
  </si>
  <si>
    <t>Solution</t>
  </si>
  <si>
    <t>Months to Hire</t>
  </si>
  <si>
    <t>Sales Enablement</t>
  </si>
  <si>
    <t>Tenure of LOST Sales Rep (#) Months</t>
  </si>
  <si>
    <t>Expenses Saved</t>
  </si>
  <si>
    <t xml:space="preserve">Recruiting </t>
  </si>
  <si>
    <t>Annual OTE of LOST Sales Rep ($)</t>
  </si>
  <si>
    <t>Salary of Sales Rep</t>
  </si>
  <si>
    <t>Months to Fully Ramp</t>
  </si>
  <si>
    <t>An external HIRE is X times more than an internal hire</t>
  </si>
  <si>
    <t>Explore Internal Hire</t>
  </si>
  <si>
    <t>Annual OTE of NEW Sales Rep ($)</t>
  </si>
  <si>
    <t>Annual Quota of Sales Rep ($)</t>
  </si>
  <si>
    <t>Expenses Occured on New Sales Rep</t>
  </si>
  <si>
    <t>Expense and Opportunity Cost for External Hire</t>
  </si>
  <si>
    <t>Reduce onboarding or hire time</t>
  </si>
  <si>
    <t>Annual Quota LOST due to no rep</t>
  </si>
  <si>
    <t>Head Hunting Fee</t>
  </si>
  <si>
    <t>Expense and Opportunity Cost for Internal Hire</t>
  </si>
  <si>
    <t>Conservative Time in Months to fully Ramp (#)</t>
  </si>
  <si>
    <t>OTE Delta $</t>
  </si>
  <si>
    <t>Recruiter's Time $</t>
  </si>
  <si>
    <t>Net Revenue Retention (%)</t>
  </si>
  <si>
    <t>Hiring Manager's Time $</t>
  </si>
  <si>
    <t>Estimated time in months to Backfill role (#)</t>
  </si>
  <si>
    <t>Lost Revenue</t>
  </si>
  <si>
    <t>Due to no Sales Rep</t>
  </si>
  <si>
    <t>Headhunter fee? (0% to X%)</t>
  </si>
  <si>
    <t>Due to Ramping Rep</t>
  </si>
  <si>
    <t>Hiring Managers Annual OTE ($)</t>
  </si>
  <si>
    <t>Hiring Managers Time to hire role in Hours (#) per month</t>
  </si>
  <si>
    <t>TOTAL EXPENSE to Replace Rep</t>
  </si>
  <si>
    <t>Recruiters Annual OTE ($)</t>
  </si>
  <si>
    <t>Expenses Occurred</t>
  </si>
  <si>
    <t>Recruiters Time to hire in hours (#) per month</t>
  </si>
  <si>
    <t>TOTAL</t>
  </si>
  <si>
    <t>Lifetime Expense of Lost Rep</t>
  </si>
  <si>
    <t>Total Expense to Replace Lost Rep</t>
  </si>
  <si>
    <t>EXPENSE</t>
  </si>
  <si>
    <t>Lifetime Revenue of Lost Rep</t>
  </si>
  <si>
    <t>Revenue to Expense Ratio</t>
  </si>
  <si>
    <t>INTERNAL HIRE</t>
  </si>
  <si>
    <t>Annual OTE of Bench Previous Role ($)</t>
  </si>
  <si>
    <t>Annual OTE of NEW Sales Role ($)</t>
  </si>
  <si>
    <t>Due to Quota Change</t>
  </si>
  <si>
    <t>Years</t>
  </si>
  <si>
    <t>Months</t>
  </si>
  <si>
    <t>EXTERNAL</t>
  </si>
  <si>
    <t>INTERNAL</t>
  </si>
  <si>
    <t>REVENUE to EXPENSE Ratio Analysis bases on Tenure</t>
  </si>
  <si>
    <t>INSTRUCTIONS</t>
  </si>
  <si>
    <t>INPUT</t>
  </si>
  <si>
    <t>Total Cost</t>
  </si>
  <si>
    <t>What is the purpose of the calculator?</t>
  </si>
  <si>
    <t>TOTAL EXPENSE to Replace Rep ($1,000s)</t>
  </si>
  <si>
    <t>1. INPUT - Populate all cells formatted in light orange.</t>
  </si>
  <si>
    <t>Revenue-to-Expense Ratio</t>
  </si>
  <si>
    <r>
      <rPr>
        <b/>
        <sz val="10"/>
        <color rgb="FF000000"/>
        <rFont val="Arial"/>
        <family val="2"/>
      </rPr>
      <t>EXTERNAL hires</t>
    </r>
    <r>
      <rPr>
        <sz val="10"/>
        <color rgb="FF000000"/>
        <rFont val="Arial"/>
        <family val="2"/>
      </rPr>
      <t xml:space="preserve"> view cell E21 - The combination of the salary saved, the expense, and the opportunity cost of losing a sales rep and replacing with an EXTERNAL hire </t>
    </r>
  </si>
  <si>
    <r>
      <rPr>
        <b/>
        <sz val="10"/>
        <color rgb="FF000000"/>
        <rFont val="Arial"/>
        <family val="2"/>
      </rPr>
      <t>INTERNAL hires</t>
    </r>
    <r>
      <rPr>
        <sz val="10"/>
        <color rgb="FF000000"/>
        <rFont val="Arial"/>
        <family val="2"/>
      </rPr>
      <t xml:space="preserve"> view cell E51 - The combination of the salary saved, the expense, and the opportunity cost of losing a sales rep and replacing with an INTERNAL hire </t>
    </r>
  </si>
  <si>
    <r>
      <rPr>
        <b/>
        <sz val="10"/>
        <color rgb="FF000000"/>
        <rFont val="Arial"/>
        <family val="2"/>
      </rPr>
      <t>HR / People Team &amp; Recruitment</t>
    </r>
    <r>
      <rPr>
        <sz val="10"/>
        <color rgb="FF000000"/>
        <rFont val="Arial"/>
        <family val="2"/>
      </rPr>
      <t xml:space="preserve"> - Understand the Opportunity Cost of each additional month it takes to hire a new hire.</t>
    </r>
  </si>
  <si>
    <r>
      <rPr>
        <b/>
        <sz val="10"/>
        <color rgb="FF000000"/>
        <rFont val="Arial"/>
        <family val="2"/>
      </rPr>
      <t>Enablement Team</t>
    </r>
    <r>
      <rPr>
        <sz val="10"/>
        <color rgb="FF000000"/>
        <rFont val="Arial"/>
        <family val="2"/>
      </rPr>
      <t xml:space="preserve"> - Understand the Opportunity Cost of each additional month it takes to fully ramp a new hire.</t>
    </r>
  </si>
  <si>
    <t>Other Implications</t>
  </si>
  <si>
    <r>
      <t xml:space="preserve">E28 - </t>
    </r>
    <r>
      <rPr>
        <b/>
        <sz val="10"/>
        <color rgb="FF000000"/>
        <rFont val="Arial"/>
        <family val="2"/>
      </rPr>
      <t>EXTERNAL HIRE</t>
    </r>
    <r>
      <rPr>
        <sz val="10"/>
        <color rgb="FF000000"/>
        <rFont val="Arial"/>
        <family val="2"/>
      </rPr>
      <t xml:space="preserve"> - The ratio of lifetime revenue the existing rep brought in against the expense and opportunity cost of the replacement </t>
    </r>
    <r>
      <rPr>
        <b/>
        <sz val="10"/>
        <color rgb="FF000000"/>
        <rFont val="Arial"/>
        <family val="2"/>
      </rPr>
      <t>EXTERNAL</t>
    </r>
    <r>
      <rPr>
        <sz val="10"/>
        <color rgb="FF000000"/>
        <rFont val="Arial"/>
        <family val="2"/>
      </rPr>
      <t xml:space="preserve"> rep</t>
    </r>
  </si>
  <si>
    <r>
      <t xml:space="preserve">E58 - </t>
    </r>
    <r>
      <rPr>
        <b/>
        <sz val="10"/>
        <color rgb="FF000000"/>
        <rFont val="Arial"/>
        <family val="2"/>
      </rPr>
      <t>INTERNAL HIRE</t>
    </r>
    <r>
      <rPr>
        <sz val="10"/>
        <color rgb="FF000000"/>
        <rFont val="Arial"/>
        <family val="2"/>
      </rPr>
      <t xml:space="preserve"> - The ratio of lifetime revenue the existing rep brought in against the expense and opportunity cost of the replacement </t>
    </r>
    <r>
      <rPr>
        <b/>
        <sz val="10"/>
        <color rgb="FF000000"/>
        <rFont val="Arial"/>
        <family val="2"/>
      </rPr>
      <t>INTERNAL</t>
    </r>
    <r>
      <rPr>
        <sz val="10"/>
        <color rgb="FF000000"/>
        <rFont val="Arial"/>
        <family val="2"/>
      </rPr>
      <t xml:space="preserve"> rep</t>
    </r>
  </si>
  <si>
    <t>Conservative Time in Months to fully ramp (#)</t>
  </si>
  <si>
    <t>Net Revenue Retention (%) (NRR)</t>
  </si>
  <si>
    <t>Due to Net Revenue Retention</t>
  </si>
  <si>
    <t>DELTA from External to Internal Hire</t>
  </si>
  <si>
    <t>KEY IMPLICATIONS</t>
  </si>
  <si>
    <r>
      <t xml:space="preserve">Each additional month to </t>
    </r>
    <r>
      <rPr>
        <b/>
        <sz val="10"/>
        <color theme="1"/>
        <rFont val="Arial"/>
        <family val="2"/>
      </rPr>
      <t>RAMP</t>
    </r>
    <r>
      <rPr>
        <sz val="10"/>
        <color theme="1"/>
        <rFont val="Arial"/>
        <family val="2"/>
      </rPr>
      <t xml:space="preserve"> equates to a monthly lost revenue of</t>
    </r>
  </si>
  <si>
    <r>
      <t xml:space="preserve">Each additional month to </t>
    </r>
    <r>
      <rPr>
        <b/>
        <sz val="10"/>
        <color theme="1"/>
        <rFont val="Arial"/>
        <family val="2"/>
      </rPr>
      <t>HIRE</t>
    </r>
    <r>
      <rPr>
        <sz val="10"/>
        <color theme="1"/>
        <rFont val="Arial"/>
        <family val="2"/>
      </rPr>
      <t xml:space="preserve"> equates to a monthly lost revenue of</t>
    </r>
  </si>
  <si>
    <t>SBI Calculator for Modeling Cost of Rep Turnover and Backfill</t>
  </si>
  <si>
    <r>
      <rPr>
        <b/>
        <sz val="10"/>
        <color rgb="FF000000"/>
        <rFont val="Arial"/>
        <family val="2"/>
      </rPr>
      <t>CFO</t>
    </r>
    <r>
      <rPr>
        <sz val="10"/>
        <color rgb="FF000000"/>
        <rFont val="Arial"/>
        <family val="2"/>
      </rPr>
      <t xml:space="preserve"> - Understand the saved expense (OTE), total expense, and opportunity cost of replacing a quota bearing sales rep with internal versus external talent.</t>
    </r>
  </si>
  <si>
    <r>
      <rPr>
        <b/>
        <sz val="10"/>
        <color rgb="FF000000"/>
        <rFont val="Arial"/>
        <family val="2"/>
      </rPr>
      <t>Revenue Operations</t>
    </r>
    <r>
      <rPr>
        <sz val="10"/>
        <color rgb="FF000000"/>
        <rFont val="Arial"/>
        <family val="2"/>
      </rPr>
      <t xml:space="preserve"> - Understand the impact against forecasting, the role of Enablement in fully ramping new hires, apply these impacts to the overall sales model, and potentially assist in building out a sales rep bench or a sales rep career progression program.</t>
    </r>
  </si>
  <si>
    <r>
      <rPr>
        <b/>
        <sz val="10"/>
        <color rgb="FF000000"/>
        <rFont val="Arial"/>
        <family val="2"/>
      </rPr>
      <t>CRO &amp; Sales Managers</t>
    </r>
    <r>
      <rPr>
        <sz val="10"/>
        <color rgb="FF000000"/>
        <rFont val="Arial"/>
        <family val="2"/>
      </rPr>
      <t xml:space="preserve"> - Understand and explore the costs of internal and external hires, as well as the costs of hiring, ramping new talent, and maintaining a bench. Use analysis to inform decisions to hire or exit B- and C-players.</t>
    </r>
  </si>
  <si>
    <t>OUTPUTS - View the TOTAL Expense of losing a sales rep and compare the implications of different hiring strategies</t>
  </si>
  <si>
    <r>
      <t xml:space="preserve">AE5 - </t>
    </r>
    <r>
      <rPr>
        <b/>
        <sz val="10"/>
        <color rgb="FF000000"/>
        <rFont val="Arial"/>
        <family val="2"/>
      </rPr>
      <t>Compare</t>
    </r>
    <r>
      <rPr>
        <sz val="10"/>
        <color rgb="FF000000"/>
        <rFont val="Arial"/>
        <family val="2"/>
      </rPr>
      <t xml:space="preserve"> the ratios of an External Hire vs an Internal Hire against tenure ranges of the rep being replaced</t>
    </r>
  </si>
  <si>
    <t>Y2 - This section provides several other implications tied to the cost of replacing a sales rep</t>
  </si>
  <si>
    <t>1. INPUTS</t>
  </si>
  <si>
    <t>2. OUTPUTS</t>
  </si>
  <si>
    <t>3. INPUTS</t>
  </si>
  <si>
    <t>4. OUTPUTS</t>
  </si>
  <si>
    <t>This calculator was designed to help growth leaders understand the trust costs of replacing departing talent in addition to examining the cost difference between external and internal hires.  As we modeled different scenarios, our team found that many companies would benefit from building a modest bench of sales-ready internal hires. We have included some additional considerations and potential implications below.</t>
  </si>
  <si>
    <t>Increase quota</t>
  </si>
  <si>
    <t>One of the outputs of this calculator is the comparison of hiring someone externally vs internally for the sales rep role.  This analysis compares the Revenue to Cost ratio, against the hypothetical tenure of the lost sales rep.
Generally, the data shows the revenue to expense ratio is better/higher for an internal higher than an external hire, even if the quota is reduced and even in the first few months of tenure.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</si>
</sst>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
    <numFmt numFmtId="165" formatCode="&quot;$&quot;#,##0"/>
    <numFmt numFmtId="166" formatCode="#0.0"/>
    <numFmt numFmtId="167" formatCode="0.0"/>
    <numFmt numFmtId="168" formatCode="_(* #,##0.0_);_(* \(#,##0.0\);_(* &quot;-&quot;??_);_(@_)"/>
  </numFmts>
  <fonts count="22" x14ac:knownFonts="1">
    <font>
      <sz val="10"/>
      <color rgb="FF000000"/>
      <name val="Arial"/>
    </font>
    <font>
      <sz val="11"/>
      <color theme="1"/>
      <name val="Calibri"/>
      <family val="2"/>
      <scheme val="minor"/>
    </font>
    <font>
      <sz val="11"/>
      <color rgb="FF3F3F76"/>
      <name val="Calibri"/>
      <family val="2"/>
      <scheme val="minor"/>
    </font>
    <font>
      <b/>
      <sz val="10"/>
      <color rgb="FFFFFFFF"/>
      <name val="Arial"/>
    </font>
    <font>
      <sz val="10"/>
      <color theme="1"/>
      <name val="Arial"/>
    </font>
    <font>
      <b/>
      <sz val="10"/>
      <color theme="1"/>
      <name val="Arial"/>
    </font>
    <font>
      <b/>
      <sz val="10"/>
      <color theme="0"/>
      <name val="Arial"/>
    </font>
    <font>
      <sz val="10"/>
      <color theme="0"/>
      <name val="Arial"/>
    </font>
    <font>
      <sz val="10"/>
      <color rgb="FFEFEFEF"/>
      <name val="Arial"/>
    </font>
    <font>
      <sz val="10"/>
      <color theme="1"/>
      <name val="Arial"/>
      <family val="2"/>
    </font>
    <font>
      <sz val="10"/>
      <name val="Arial"/>
      <family val="2"/>
    </font>
    <font>
      <sz val="10"/>
      <color rgb="FF000000"/>
      <name val="Arial"/>
      <family val="2"/>
    </font>
    <font>
      <b/>
      <sz val="10"/>
      <color rgb="FF000000"/>
      <name val="Arial"/>
      <family val="2"/>
    </font>
    <font>
      <b/>
      <sz val="10"/>
      <color rgb="FFFFFFFF"/>
      <name val="Arial"/>
      <family val="2"/>
    </font>
    <font>
      <b/>
      <sz val="10"/>
      <color theme="0"/>
      <name val="Arial"/>
      <family val="2"/>
    </font>
    <font>
      <sz val="10"/>
      <color rgb="FF3F3F76"/>
      <name val="Arial"/>
      <family val="2"/>
    </font>
    <font>
      <b/>
      <sz val="9"/>
      <color theme="0"/>
      <name val="Arial"/>
      <family val="2"/>
    </font>
    <font>
      <b/>
      <sz val="10"/>
      <color theme="1"/>
      <name val="Arial"/>
      <family val="2"/>
    </font>
    <font>
      <u/>
      <sz val="10"/>
      <color theme="10"/>
      <name val="Arial"/>
    </font>
    <font>
      <u/>
      <sz val="10"/>
      <color theme="0"/>
      <name val="Arial"/>
      <family val="2"/>
    </font>
    <font>
      <b/>
      <sz val="8.5"/>
      <color rgb="FFFFFFFF"/>
      <name val="Arial"/>
      <family val="2"/>
    </font>
    <font>
      <sz val="10"/>
      <color theme="0"/>
      <name val="Arial"/>
      <family val="2"/>
    </font>
  </fonts>
  <fills count="15">
    <fill>
      <patternFill patternType="none"/>
    </fill>
    <fill>
      <patternFill patternType="gray125"/>
    </fill>
    <fill>
      <patternFill patternType="solid">
        <fgColor rgb="FFFFCC99"/>
      </patternFill>
    </fill>
    <fill>
      <patternFill patternType="solid">
        <fgColor theme="1"/>
        <bgColor theme="1"/>
      </patternFill>
    </fill>
    <fill>
      <patternFill patternType="solid">
        <fgColor rgb="FF2193DF"/>
        <bgColor theme="9"/>
      </patternFill>
    </fill>
    <fill>
      <patternFill patternType="solid">
        <fgColor rgb="FF03327C"/>
        <bgColor theme="4"/>
      </patternFill>
    </fill>
    <fill>
      <patternFill patternType="solid">
        <fgColor rgb="FF4D4D4D"/>
        <bgColor theme="1"/>
      </patternFill>
    </fill>
    <fill>
      <patternFill patternType="solid">
        <fgColor rgb="FF4D4D4D"/>
        <bgColor indexed="64"/>
      </patternFill>
    </fill>
    <fill>
      <patternFill patternType="solid">
        <fgColor rgb="FF018935"/>
        <bgColor rgb="FF5B0F00"/>
      </patternFill>
    </fill>
    <fill>
      <patternFill patternType="solid">
        <fgColor rgb="FF66337A"/>
        <bgColor rgb="FF980000"/>
      </patternFill>
    </fill>
    <fill>
      <patternFill patternType="solid">
        <fgColor rgb="FF03327C"/>
        <bgColor indexed="64"/>
      </patternFill>
    </fill>
    <fill>
      <patternFill patternType="solid">
        <fgColor rgb="FF66337A"/>
        <bgColor indexed="64"/>
      </patternFill>
    </fill>
    <fill>
      <patternFill patternType="solid">
        <fgColor rgb="FF2193DF"/>
        <bgColor indexed="64"/>
      </patternFill>
    </fill>
    <fill>
      <patternFill patternType="solid">
        <fgColor rgb="FF018935"/>
        <bgColor indexed="64"/>
      </patternFill>
    </fill>
    <fill>
      <patternFill patternType="solid">
        <fgColor rgb="FFE7E6E6"/>
        <bgColor indexed="64"/>
      </patternFill>
    </fill>
  </fills>
  <borders count="36">
    <border>
      <left/>
      <right/>
      <top/>
      <bottom/>
      <diagonal/>
    </border>
    <border>
      <left style="thin">
        <color rgb="FF7F7F7F"/>
      </left>
      <right style="thin">
        <color rgb="FF7F7F7F"/>
      </right>
      <top style="thin">
        <color rgb="FF7F7F7F"/>
      </top>
      <bottom style="thin">
        <color rgb="FF7F7F7F"/>
      </bottom>
      <diagonal/>
    </border>
    <border>
      <left/>
      <right/>
      <top/>
      <bottom style="thin">
        <color rgb="FF000000"/>
      </bottom>
      <diagonal/>
    </border>
    <border>
      <left/>
      <right style="thin">
        <color rgb="FF000000"/>
      </right>
      <top/>
      <bottom/>
      <diagonal/>
    </border>
    <border>
      <left/>
      <right style="thin">
        <color rgb="FFEFEFEF"/>
      </right>
      <top/>
      <bottom style="thin">
        <color rgb="FFEFEFEF"/>
      </bottom>
      <diagonal/>
    </border>
    <border>
      <left style="thin">
        <color rgb="FFEFEFEF"/>
      </left>
      <right style="thin">
        <color rgb="FFEFEFEF"/>
      </right>
      <top/>
      <bottom style="thin">
        <color rgb="FFEFEFEF"/>
      </bottom>
      <diagonal/>
    </border>
    <border>
      <left/>
      <right style="thin">
        <color rgb="FFEFEFEF"/>
      </right>
      <top style="thin">
        <color rgb="FFEFEFEF"/>
      </top>
      <bottom style="thin">
        <color rgb="FFEFEFEF"/>
      </bottom>
      <diagonal/>
    </border>
    <border>
      <left style="thin">
        <color rgb="FFEFEFEF"/>
      </left>
      <right style="thin">
        <color rgb="FFEFEFEF"/>
      </right>
      <top style="thin">
        <color rgb="FFEFEFEF"/>
      </top>
      <bottom style="thin">
        <color rgb="FFEFEFEF"/>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rgb="FF7F7F7F"/>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0" fontId="2" fillId="2" borderId="1" applyNumberFormat="0" applyAlignment="0" applyProtection="0"/>
    <xf numFmtId="0" fontId="18" fillId="0" borderId="0" applyNumberFormat="0" applyFill="0" applyBorder="0" applyAlignment="0" applyProtection="0"/>
  </cellStyleXfs>
  <cellXfs count="98">
    <xf numFmtId="0" fontId="0" fillId="0" borderId="0" xfId="0"/>
    <xf numFmtId="164" fontId="4" fillId="0" borderId="0" xfId="0" applyNumberFormat="1" applyFont="1"/>
    <xf numFmtId="164" fontId="4" fillId="3" borderId="0" xfId="0" applyNumberFormat="1" applyFont="1" applyFill="1"/>
    <xf numFmtId="0" fontId="5" fillId="0" borderId="0" xfId="0" applyFont="1"/>
    <xf numFmtId="165" fontId="5" fillId="0" borderId="0" xfId="0" applyNumberFormat="1" applyFont="1" applyAlignment="1">
      <alignment horizontal="center"/>
    </xf>
    <xf numFmtId="166" fontId="4" fillId="3" borderId="0" xfId="0" applyNumberFormat="1" applyFont="1" applyFill="1"/>
    <xf numFmtId="0" fontId="4" fillId="0" borderId="0" xfId="0" applyFont="1"/>
    <xf numFmtId="165" fontId="4" fillId="0" borderId="0" xfId="0" applyNumberFormat="1" applyFont="1"/>
    <xf numFmtId="165" fontId="7" fillId="0" borderId="0" xfId="0" applyNumberFormat="1" applyFont="1"/>
    <xf numFmtId="166" fontId="5" fillId="0" borderId="2" xfId="0" applyNumberFormat="1" applyFont="1" applyBorder="1" applyAlignment="1">
      <alignment horizontal="center"/>
    </xf>
    <xf numFmtId="166" fontId="4" fillId="0" borderId="0" xfId="0" applyNumberFormat="1" applyFont="1"/>
    <xf numFmtId="166" fontId="5" fillId="0" borderId="3" xfId="0" applyNumberFormat="1" applyFont="1" applyBorder="1"/>
    <xf numFmtId="164" fontId="4" fillId="0" borderId="4" xfId="0" applyNumberFormat="1" applyFont="1" applyBorder="1"/>
    <xf numFmtId="164" fontId="4" fillId="0" borderId="5" xfId="0" applyNumberFormat="1" applyFont="1" applyBorder="1"/>
    <xf numFmtId="167" fontId="4" fillId="0" borderId="0" xfId="0" applyNumberFormat="1" applyFont="1" applyAlignment="1">
      <alignment horizontal="center"/>
    </xf>
    <xf numFmtId="164" fontId="4" fillId="0" borderId="6" xfId="0" applyNumberFormat="1" applyFont="1" applyBorder="1"/>
    <xf numFmtId="164" fontId="4" fillId="0" borderId="7" xfId="0" applyNumberFormat="1" applyFont="1" applyBorder="1"/>
    <xf numFmtId="0" fontId="4" fillId="0" borderId="10" xfId="0" applyFont="1" applyBorder="1"/>
    <xf numFmtId="165" fontId="4" fillId="0" borderId="3" xfId="0" applyNumberFormat="1" applyFont="1" applyBorder="1"/>
    <xf numFmtId="0" fontId="4" fillId="0" borderId="8" xfId="0" applyFont="1" applyBorder="1"/>
    <xf numFmtId="165" fontId="4" fillId="0" borderId="9" xfId="0" applyNumberFormat="1" applyFont="1" applyBorder="1"/>
    <xf numFmtId="0" fontId="5" fillId="0" borderId="10" xfId="0" applyFont="1" applyBorder="1"/>
    <xf numFmtId="165" fontId="5" fillId="0" borderId="3" xfId="0" applyNumberFormat="1" applyFont="1" applyBorder="1"/>
    <xf numFmtId="0" fontId="4" fillId="0" borderId="3" xfId="0" applyFont="1" applyBorder="1"/>
    <xf numFmtId="0" fontId="8" fillId="0" borderId="0" xfId="0" applyFont="1"/>
    <xf numFmtId="0" fontId="11" fillId="0" borderId="0" xfId="0" applyFont="1"/>
    <xf numFmtId="0" fontId="15" fillId="2" borderId="1" xfId="2" applyFont="1"/>
    <xf numFmtId="165" fontId="15" fillId="2" borderId="1" xfId="2" applyNumberFormat="1" applyFont="1"/>
    <xf numFmtId="9" fontId="15" fillId="2" borderId="1" xfId="2" applyNumberFormat="1" applyFont="1"/>
    <xf numFmtId="0" fontId="9" fillId="0" borderId="0" xfId="0" applyFont="1"/>
    <xf numFmtId="0" fontId="10" fillId="0" borderId="15" xfId="0" applyFont="1" applyBorder="1" applyAlignment="1">
      <alignment horizontal="center"/>
    </xf>
    <xf numFmtId="167" fontId="10" fillId="0" borderId="16" xfId="0" applyNumberFormat="1" applyFont="1" applyBorder="1" applyAlignment="1">
      <alignment horizontal="center"/>
    </xf>
    <xf numFmtId="167" fontId="10" fillId="0" borderId="21" xfId="0" applyNumberFormat="1" applyFont="1" applyBorder="1" applyAlignment="1">
      <alignment horizontal="center"/>
    </xf>
    <xf numFmtId="0" fontId="10" fillId="0" borderId="23" xfId="0" applyFont="1" applyBorder="1" applyAlignment="1">
      <alignment horizontal="center"/>
    </xf>
    <xf numFmtId="167" fontId="10" fillId="0" borderId="24" xfId="0" applyNumberFormat="1" applyFont="1" applyBorder="1" applyAlignment="1">
      <alignment horizontal="center"/>
    </xf>
    <xf numFmtId="167" fontId="10" fillId="0" borderId="25" xfId="0" applyNumberFormat="1" applyFont="1" applyBorder="1" applyAlignment="1">
      <alignment horizontal="center"/>
    </xf>
    <xf numFmtId="0" fontId="4" fillId="5" borderId="0" xfId="0" applyFont="1" applyFill="1"/>
    <xf numFmtId="0" fontId="3" fillId="8" borderId="8" xfId="0" applyFont="1" applyFill="1" applyBorder="1"/>
    <xf numFmtId="0" fontId="3" fillId="8" borderId="9" xfId="0" applyFont="1" applyFill="1" applyBorder="1"/>
    <xf numFmtId="0" fontId="3" fillId="8" borderId="11" xfId="0" applyFont="1" applyFill="1" applyBorder="1"/>
    <xf numFmtId="0" fontId="6" fillId="9" borderId="11" xfId="0" applyFont="1" applyFill="1" applyBorder="1"/>
    <xf numFmtId="0" fontId="4" fillId="0" borderId="15" xfId="0" applyFont="1" applyBorder="1"/>
    <xf numFmtId="165" fontId="4" fillId="0" borderId="16" xfId="0" applyNumberFormat="1" applyFont="1" applyBorder="1"/>
    <xf numFmtId="0" fontId="3" fillId="8" borderId="13" xfId="0" applyFont="1" applyFill="1" applyBorder="1"/>
    <xf numFmtId="0" fontId="3" fillId="8" borderId="14" xfId="0" applyFont="1" applyFill="1" applyBorder="1"/>
    <xf numFmtId="0" fontId="3" fillId="8" borderId="17" xfId="0" applyFont="1" applyFill="1" applyBorder="1"/>
    <xf numFmtId="0" fontId="14" fillId="12" borderId="26" xfId="0" applyFont="1" applyFill="1" applyBorder="1" applyAlignment="1">
      <alignment horizontal="center"/>
    </xf>
    <xf numFmtId="0" fontId="14" fillId="12" borderId="27" xfId="0" applyFont="1" applyFill="1" applyBorder="1" applyAlignment="1">
      <alignment horizontal="center"/>
    </xf>
    <xf numFmtId="167" fontId="14" fillId="12" borderId="28" xfId="0" applyNumberFormat="1" applyFont="1" applyFill="1" applyBorder="1" applyAlignment="1">
      <alignment horizontal="center"/>
    </xf>
    <xf numFmtId="167" fontId="14" fillId="12" borderId="29" xfId="0" applyNumberFormat="1" applyFont="1" applyFill="1" applyBorder="1" applyAlignment="1">
      <alignment horizontal="center"/>
    </xf>
    <xf numFmtId="0" fontId="11" fillId="0" borderId="30" xfId="0" applyFont="1" applyBorder="1"/>
    <xf numFmtId="0" fontId="11" fillId="0" borderId="30" xfId="0" applyFont="1" applyBorder="1" applyAlignment="1">
      <alignment wrapText="1"/>
    </xf>
    <xf numFmtId="0" fontId="11" fillId="0" borderId="31" xfId="0" applyFont="1" applyBorder="1"/>
    <xf numFmtId="0" fontId="14" fillId="10" borderId="30" xfId="0" applyFont="1" applyFill="1" applyBorder="1"/>
    <xf numFmtId="0" fontId="14" fillId="13" borderId="30" xfId="0" applyFont="1" applyFill="1" applyBorder="1"/>
    <xf numFmtId="0" fontId="14" fillId="12" borderId="30" xfId="0" applyFont="1" applyFill="1" applyBorder="1"/>
    <xf numFmtId="0" fontId="0" fillId="14" borderId="0" xfId="0" applyFill="1"/>
    <xf numFmtId="0" fontId="0" fillId="14" borderId="30" xfId="0" applyFill="1" applyBorder="1"/>
    <xf numFmtId="0" fontId="14" fillId="10" borderId="32" xfId="0" applyFont="1" applyFill="1" applyBorder="1"/>
    <xf numFmtId="0" fontId="2" fillId="2" borderId="33" xfId="2" applyFont="1" applyBorder="1"/>
    <xf numFmtId="0" fontId="11" fillId="0" borderId="34" xfId="0" applyFont="1" applyBorder="1"/>
    <xf numFmtId="0" fontId="14" fillId="11" borderId="32" xfId="0" applyFont="1" applyFill="1" applyBorder="1"/>
    <xf numFmtId="0" fontId="11" fillId="0" borderId="34" xfId="0" applyFont="1" applyBorder="1" applyAlignment="1">
      <alignment wrapText="1"/>
    </xf>
    <xf numFmtId="0" fontId="14" fillId="7" borderId="19" xfId="0" applyFont="1" applyFill="1" applyBorder="1" applyAlignment="1">
      <alignment horizontal="center"/>
    </xf>
    <xf numFmtId="0" fontId="11" fillId="0" borderId="32" xfId="0" applyFont="1" applyBorder="1" applyAlignment="1">
      <alignment wrapText="1"/>
    </xf>
    <xf numFmtId="0" fontId="11" fillId="0" borderId="35" xfId="0" applyFont="1" applyBorder="1" applyAlignment="1">
      <alignment wrapText="1"/>
    </xf>
    <xf numFmtId="0" fontId="5" fillId="0" borderId="0" xfId="0" applyFont="1" applyAlignment="1">
      <alignment horizontal="center"/>
    </xf>
    <xf numFmtId="0" fontId="4" fillId="0" borderId="0" xfId="0" applyFont="1" applyAlignment="1">
      <alignment horizontal="center"/>
    </xf>
    <xf numFmtId="164" fontId="4" fillId="0" borderId="0" xfId="0" applyNumberFormat="1" applyFont="1" applyAlignment="1">
      <alignment horizontal="center"/>
    </xf>
    <xf numFmtId="0" fontId="11" fillId="0" borderId="0" xfId="0" applyFont="1" applyAlignment="1">
      <alignment vertical="top" wrapText="1"/>
    </xf>
    <xf numFmtId="43" fontId="10" fillId="0" borderId="20" xfId="1" applyNumberFormat="1" applyFont="1" applyBorder="1" applyAlignment="1">
      <alignment horizontal="center"/>
    </xf>
    <xf numFmtId="168" fontId="10" fillId="0" borderId="20" xfId="1" applyNumberFormat="1" applyFont="1" applyBorder="1" applyAlignment="1">
      <alignment horizontal="center"/>
    </xf>
    <xf numFmtId="168" fontId="10" fillId="0" borderId="22" xfId="1" applyNumberFormat="1" applyFont="1" applyBorder="1" applyAlignment="1">
      <alignment horizontal="center"/>
    </xf>
    <xf numFmtId="167" fontId="19" fillId="9" borderId="12" xfId="3" applyNumberFormat="1" applyFont="1" applyFill="1" applyBorder="1"/>
    <xf numFmtId="165" fontId="19" fillId="8" borderId="12" xfId="3" applyNumberFormat="1" applyFont="1" applyFill="1" applyBorder="1"/>
    <xf numFmtId="165" fontId="19" fillId="8" borderId="18" xfId="3" applyNumberFormat="1" applyFont="1" applyFill="1" applyBorder="1"/>
    <xf numFmtId="0" fontId="0" fillId="0" borderId="0" xfId="0" applyAlignment="1">
      <alignment horizontal="left"/>
    </xf>
    <xf numFmtId="0" fontId="3" fillId="6" borderId="0" xfId="0" applyFont="1" applyFill="1" applyAlignment="1">
      <alignment horizontal="center"/>
    </xf>
    <xf numFmtId="0" fontId="0" fillId="7" borderId="0" xfId="0" applyFill="1"/>
    <xf numFmtId="0" fontId="6" fillId="5" borderId="0" xfId="0" applyFont="1" applyFill="1" applyAlignment="1">
      <alignment horizontal="center"/>
    </xf>
    <xf numFmtId="0" fontId="0" fillId="10" borderId="0" xfId="0" applyFill="1"/>
    <xf numFmtId="0" fontId="11" fillId="0" borderId="0" xfId="0" applyFont="1" applyAlignment="1">
      <alignment horizontal="left" vertical="top" wrapText="1"/>
    </xf>
    <xf numFmtId="0" fontId="14" fillId="11" borderId="26" xfId="0" applyFont="1" applyFill="1" applyBorder="1" applyAlignment="1">
      <alignment horizontal="center"/>
    </xf>
    <xf numFmtId="0" fontId="14" fillId="11" borderId="29" xfId="0" applyFont="1" applyFill="1" applyBorder="1" applyAlignment="1">
      <alignment horizontal="center"/>
    </xf>
    <xf numFmtId="0" fontId="14" fillId="12" borderId="0" xfId="0" applyFont="1" applyFill="1" applyAlignment="1">
      <alignment horizontal="center"/>
    </xf>
    <xf numFmtId="0" fontId="20" fillId="5" borderId="0" xfId="0" applyFont="1" applyFill="1" applyAlignment="1">
      <alignment horizontal="center" vertical="center" textRotation="255"/>
    </xf>
    <xf numFmtId="0" fontId="13" fillId="8" borderId="0" xfId="0" applyFont="1" applyFill="1" applyBorder="1" applyAlignment="1">
      <alignment horizontal="center"/>
    </xf>
    <xf numFmtId="0" fontId="3" fillId="8" borderId="0" xfId="0" applyFont="1" applyFill="1" applyBorder="1" applyAlignment="1">
      <alignment horizontal="center"/>
    </xf>
    <xf numFmtId="0" fontId="16" fillId="11" borderId="0" xfId="0" applyFont="1" applyFill="1" applyAlignment="1">
      <alignment horizontal="center"/>
    </xf>
    <xf numFmtId="0" fontId="3" fillId="4" borderId="0" xfId="0" applyFont="1" applyFill="1" applyAlignment="1">
      <alignment horizontal="center"/>
    </xf>
    <xf numFmtId="0" fontId="13" fillId="4" borderId="0" xfId="0" applyFont="1" applyFill="1" applyAlignment="1">
      <alignment horizontal="center"/>
    </xf>
    <xf numFmtId="0" fontId="6" fillId="6" borderId="0" xfId="0" applyFont="1" applyFill="1" applyAlignment="1">
      <alignment horizontal="center"/>
    </xf>
    <xf numFmtId="0" fontId="21" fillId="10" borderId="0" xfId="0" applyFont="1" applyFill="1"/>
    <xf numFmtId="0" fontId="9" fillId="0" borderId="0" xfId="0" applyFont="1" applyAlignment="1"/>
    <xf numFmtId="0" fontId="0" fillId="0" borderId="0" xfId="0" applyAlignment="1"/>
    <xf numFmtId="0" fontId="5" fillId="0" borderId="0" xfId="0" applyFont="1" applyAlignment="1"/>
    <xf numFmtId="164" fontId="4" fillId="0" borderId="0" xfId="0" applyNumberFormat="1" applyFont="1" applyAlignment="1"/>
    <xf numFmtId="164" fontId="9" fillId="0" borderId="0" xfId="0" applyNumberFormat="1" applyFont="1" applyAlignment="1"/>
  </cellXfs>
  <cellStyles count="4">
    <cellStyle name="Comma" xfId="1" builtinId="3"/>
    <cellStyle name="Hyperlink" xfId="3" builtinId="8"/>
    <cellStyle name="Input" xfId="2" builtinId="20"/>
    <cellStyle name="Normal" xfId="0" builtinId="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03327C"/>
      <color rgb="FF018935"/>
      <color rgb="FFC092D2"/>
      <color rgb="FF66337A"/>
      <color rgb="FF2193DF"/>
      <color rgb="FFE7E6E6"/>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Revenue to Expense Ratio </a:t>
            </a:r>
          </a:p>
        </c:rich>
      </c:tx>
      <c:overlay val="0"/>
    </c:title>
    <c:autoTitleDeleted val="0"/>
    <c:plotArea>
      <c:layout/>
      <c:lineChart>
        <c:grouping val="standard"/>
        <c:varyColors val="1"/>
        <c:ser>
          <c:idx val="0"/>
          <c:order val="0"/>
          <c:tx>
            <c:v>External Hire</c:v>
          </c:tx>
          <c:spPr>
            <a:ln cmpd="sng">
              <a:solidFill>
                <a:srgbClr val="4285F4"/>
              </a:solidFill>
            </a:ln>
          </c:spPr>
          <c:marker>
            <c:symbol val="circle"/>
            <c:size val="7"/>
            <c:spPr>
              <a:solidFill>
                <a:srgbClr val="4285F4"/>
              </a:solidFill>
              <a:ln cmpd="sng">
                <a:solidFill>
                  <a:srgbClr val="4285F4"/>
                </a:solidFill>
              </a:ln>
            </c:spPr>
          </c:marker>
          <c:dLbls>
            <c:spPr>
              <a:noFill/>
              <a:ln>
                <a:noFill/>
              </a:ln>
              <a:effectLst/>
            </c:spPr>
            <c:txPr>
              <a:bodyPr/>
              <a:lstStyle/>
              <a:p>
                <a:pPr lvl="0">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'Advanced Calculator'!$AE$14:$AE$22</c:f>
              <c:numCache>
                <c:formatCode>_(* #,##0.0_);_(* \(#,##0.0\);_(* "-"??_);_(@_)</c:formatCode>
                <c:ptCount val="9"/>
                <c:pt idx="0" formatCode="_(* #,##0.00_);_(* \(#,##0.00\);_(* &quot;-&quot;??_);_(@_)">
                  <c:v>0.25</c:v>
                </c:pt>
                <c:pt idx="1">
                  <c:v>0.5</c:v>
                </c:pt>
                <c:pt idx="2">
                  <c:v>1</c:v>
                </c:pt>
                <c:pt idx="3">
                  <c:v>1.5</c:v>
                </c:pt>
                <c:pt idx="4">
                  <c:v>2</c:v>
                </c:pt>
                <c:pt idx="5">
                  <c:v>2.5</c:v>
                </c:pt>
                <c:pt idx="6">
                  <c:v>3</c:v>
                </c:pt>
                <c:pt idx="7">
                  <c:v>3.5</c:v>
                </c:pt>
                <c:pt idx="8">
                  <c:v>4</c:v>
                </c:pt>
              </c:numCache>
            </c:numRef>
          </c:cat>
          <c:val>
            <c:numRef>
              <c:f>'Advanced Calculator'!$AG$14:$AG$22</c:f>
              <c:numCache>
                <c:formatCode>0.0</c:formatCode>
                <c:ptCount val="9"/>
                <c:pt idx="0">
                  <c:v>0.24163149586004704</c:v>
                </c:pt>
                <c:pt idx="1">
                  <c:v>0.45573312268335658</c:v>
                </c:pt>
                <c:pt idx="2">
                  <c:v>0.81824132664193761</c:v>
                </c:pt>
                <c:pt idx="3">
                  <c:v>1.1134755282822784</c:v>
                </c:pt>
                <c:pt idx="4">
                  <c:v>1.3585725930622226</c:v>
                </c:pt>
                <c:pt idx="5">
                  <c:v>1.5653045039028257</c:v>
                </c:pt>
                <c:pt idx="6">
                  <c:v>1.7420253948590894</c:v>
                </c:pt>
                <c:pt idx="7">
                  <c:v>1.894828021799545</c:v>
                </c:pt>
                <c:pt idx="8">
                  <c:v>2.0282604286390371</c:v>
                </c:pt>
              </c:numCache>
            </c:numRef>
          </c:val>
          <c:smooth val="0"/>
          <c:extLst>
            <c:ext xmlns:c16="http://schemas.microsoft.com/office/drawing/2014/chart" uri="{C3380CC4-5D6E-409C-BE32-E72D297353CC}">
              <c16:uniqueId val="{00000000-5F2E-4E59-AA61-79887C532B73}"/>
            </c:ext>
          </c:extLst>
        </c:ser>
        <c:ser>
          <c:idx val="1"/>
          <c:order val="1"/>
          <c:tx>
            <c:v>Internal Hire</c:v>
          </c:tx>
          <c:spPr>
            <a:ln cmpd="sng">
              <a:solidFill>
                <a:srgbClr val="EA4335"/>
              </a:solidFill>
            </a:ln>
          </c:spPr>
          <c:marker>
            <c:symbol val="circle"/>
            <c:size val="7"/>
            <c:spPr>
              <a:solidFill>
                <a:srgbClr val="EA4335"/>
              </a:solidFill>
              <a:ln cmpd="sng">
                <a:solidFill>
                  <a:srgbClr val="EA4335"/>
                </a:solidFill>
              </a:ln>
            </c:spPr>
          </c:marker>
          <c:dLbls>
            <c:spPr>
              <a:noFill/>
              <a:ln>
                <a:noFill/>
              </a:ln>
              <a:effectLst/>
            </c:spPr>
            <c:txPr>
              <a:bodyPr/>
              <a:lstStyle/>
              <a:p>
                <a:pPr lvl="0">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'Advanced Calculator'!$AE$14:$AE$22</c:f>
              <c:numCache>
                <c:formatCode>_(* #,##0.0_);_(* \(#,##0.0\);_(* "-"??_);_(@_)</c:formatCode>
                <c:ptCount val="9"/>
                <c:pt idx="0" formatCode="_(* #,##0.00_);_(* \(#,##0.00\);_(* &quot;-&quot;??_);_(@_)">
                  <c:v>0.25</c:v>
                </c:pt>
                <c:pt idx="1">
                  <c:v>0.5</c:v>
                </c:pt>
                <c:pt idx="2">
                  <c:v>1</c:v>
                </c:pt>
                <c:pt idx="3">
                  <c:v>1.5</c:v>
                </c:pt>
                <c:pt idx="4">
                  <c:v>2</c:v>
                </c:pt>
                <c:pt idx="5">
                  <c:v>2.5</c:v>
                </c:pt>
                <c:pt idx="6">
                  <c:v>3</c:v>
                </c:pt>
                <c:pt idx="7">
                  <c:v>3.5</c:v>
                </c:pt>
                <c:pt idx="8">
                  <c:v>4</c:v>
                </c:pt>
              </c:numCache>
            </c:numRef>
          </c:cat>
          <c:val>
            <c:numRef>
              <c:f>'Advanced Calculator'!$AI$14:$AI$22</c:f>
              <c:numCache>
                <c:formatCode>0.0</c:formatCode>
                <c:ptCount val="9"/>
                <c:pt idx="0">
                  <c:v>0.48582995951417007</c:v>
                </c:pt>
                <c:pt idx="1">
                  <c:v>0.86642599277978338</c:v>
                </c:pt>
                <c:pt idx="2">
                  <c:v>1.42433234421365</c:v>
                </c:pt>
                <c:pt idx="3">
                  <c:v>1.8136020151133503</c:v>
                </c:pt>
                <c:pt idx="4">
                  <c:v>2.1006564551422322</c:v>
                </c:pt>
                <c:pt idx="5">
                  <c:v>2.3210831721470022</c:v>
                </c:pt>
                <c:pt idx="6">
                  <c:v>2.4956672443674179</c:v>
                </c:pt>
                <c:pt idx="7">
                  <c:v>2.6373626373626378</c:v>
                </c:pt>
                <c:pt idx="8">
                  <c:v>2.7546628407460547</c:v>
                </c:pt>
              </c:numCache>
            </c:numRef>
          </c:val>
          <c:smooth val="0"/>
          <c:extLst>
            <c:ext xmlns:c16="http://schemas.microsoft.com/office/drawing/2014/chart" uri="{C3380CC4-5D6E-409C-BE32-E72D297353CC}">
              <c16:uniqueId val="{00000001-5F2E-4E59-AA61-79887C532B73}"/>
            </c:ext>
          </c:extLst>
        </c:ser>
        <c:ser>
          <c:idx val="2"/>
          <c:order val="2"/>
          <c:tx>
            <c:v>Break Even</c:v>
          </c:tx>
          <c:spPr>
            <a:ln w="38100">
              <a:solidFill>
                <a:srgbClr val="018935"/>
              </a:solidFill>
            </a:ln>
          </c:spPr>
          <c:marker>
            <c:symbol val="none"/>
          </c:marker>
          <c:val>
            <c:numLit>
              <c:formatCode>General</c:formatCode>
              <c:ptCount val="9"/>
              <c:pt idx="0">
                <c:v>1</c:v>
              </c:pt>
              <c:pt idx="1">
                <c:v>1</c:v>
              </c:pt>
              <c:pt idx="2">
                <c:v>1</c:v>
              </c:pt>
              <c:pt idx="3">
                <c:v>1</c:v>
              </c:pt>
              <c:pt idx="4">
                <c:v>1</c:v>
              </c:pt>
              <c:pt idx="5">
                <c:v>1</c:v>
              </c:pt>
              <c:pt idx="6">
                <c:v>1</c:v>
              </c:pt>
              <c:pt idx="7">
                <c:v>1</c:v>
              </c:pt>
              <c:pt idx="8">
                <c:v>1</c:v>
              </c:pt>
            </c:numLit>
          </c:val>
          <c:smooth val="0"/>
          <c:extLst>
            <c:ext xmlns:c16="http://schemas.microsoft.com/office/drawing/2014/chart" uri="{C3380CC4-5D6E-409C-BE32-E72D297353CC}">
              <c16:uniqueId val="{00000001-D77C-4C5C-9A1A-EEFA2C1B1468}"/>
            </c:ext>
          </c:extLst>
        </c:ser>
        <c:dLbls>
          <c:showLegendKey val="0"/>
          <c:showVal val="0"/>
          <c:showCatName val="0"/>
          <c:showSerName val="0"/>
          <c:showPercent val="0"/>
          <c:showBubbleSize val="0"/>
        </c:dLbls>
        <c:marker val="1"/>
        <c:smooth val="0"/>
        <c:axId val="1446035043"/>
        <c:axId val="242081837"/>
      </c:lineChart>
      <c:catAx>
        <c:axId val="1446035043"/>
        <c:scaling>
          <c:orientation val="minMax"/>
        </c:scaling>
        <c:delete val="0"/>
        <c:axPos val="b"/>
        <c:title>
          <c:tx>
            <c:rich>
              <a:bodyPr/>
              <a:lstStyle/>
              <a:p>
                <a:pPr lvl="0">
                  <a:defRPr b="1">
                    <a:solidFill>
                      <a:srgbClr val="000000"/>
                    </a:solidFill>
                    <a:latin typeface="+mn-lt"/>
                  </a:defRPr>
                </a:pPr>
                <a:r>
                  <a:rPr lang="en-US" b="1">
                    <a:solidFill>
                      <a:srgbClr val="000000"/>
                    </a:solidFill>
                    <a:latin typeface="+mn-lt"/>
                  </a:rPr>
                  <a:t>Tenure Time in Years</a:t>
                </a:r>
              </a:p>
            </c:rich>
          </c:tx>
          <c:overlay val="0"/>
        </c:title>
        <c:numFmt formatCode="_(* #,##0.00_);_(* \(#,##0.00\);_(* &quot;-&quot;??_);_(@_)" sourceLinked="1"/>
        <c:majorTickMark val="none"/>
        <c:minorTickMark val="none"/>
        <c:tickLblPos val="nextTo"/>
        <c:txPr>
          <a:bodyPr/>
          <a:lstStyle/>
          <a:p>
            <a:pPr lvl="0">
              <a:defRPr b="1">
                <a:solidFill>
                  <a:srgbClr val="000000"/>
                </a:solidFill>
                <a:latin typeface="+mn-lt"/>
              </a:defRPr>
            </a:pPr>
            <a:endParaRPr lang="en-US"/>
          </a:p>
        </c:txPr>
        <c:crossAx val="242081837"/>
        <c:crosses val="autoZero"/>
        <c:auto val="1"/>
        <c:lblAlgn val="ctr"/>
        <c:lblOffset val="100"/>
        <c:noMultiLvlLbl val="1"/>
      </c:catAx>
      <c:valAx>
        <c:axId val="24208183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1">
                    <a:solidFill>
                      <a:srgbClr val="000000"/>
                    </a:solidFill>
                    <a:latin typeface="+mn-lt"/>
                  </a:defRPr>
                </a:pPr>
                <a:r>
                  <a:rPr lang="en-US" b="1">
                    <a:solidFill>
                      <a:srgbClr val="000000"/>
                    </a:solidFill>
                    <a:latin typeface="+mn-lt"/>
                  </a:rPr>
                  <a:t>Revenue to Expense Ratio</a:t>
                </a:r>
              </a:p>
            </c:rich>
          </c:tx>
          <c:overlay val="0"/>
        </c:title>
        <c:numFmt formatCode="0.0" sourceLinked="0"/>
        <c:majorTickMark val="none"/>
        <c:minorTickMark val="none"/>
        <c:tickLblPos val="nextTo"/>
        <c:spPr>
          <a:ln/>
        </c:spPr>
        <c:txPr>
          <a:bodyPr/>
          <a:lstStyle/>
          <a:p>
            <a:pPr lvl="0">
              <a:defRPr b="1">
                <a:solidFill>
                  <a:srgbClr val="000000"/>
                </a:solidFill>
                <a:latin typeface="+mn-lt"/>
              </a:defRPr>
            </a:pPr>
            <a:endParaRPr lang="en-US"/>
          </a:p>
        </c:txPr>
        <c:crossAx val="1446035043"/>
        <c:crosses val="autoZero"/>
        <c:crossBetween val="between"/>
      </c:valAx>
    </c:plotArea>
    <c:legend>
      <c:legendPos val="b"/>
      <c:overlay val="0"/>
      <c:txPr>
        <a:bodyPr/>
        <a:lstStyle/>
        <a:p>
          <a:pPr lvl="0">
            <a:defRPr b="1">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sbigrowth.com/"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117475</xdr:rowOff>
    </xdr:from>
    <xdr:to>
      <xdr:col>1</xdr:col>
      <xdr:colOff>2273813</xdr:colOff>
      <xdr:row>1</xdr:row>
      <xdr:rowOff>1080645</xdr:rowOff>
    </xdr:to>
    <xdr:pic>
      <xdr:nvPicPr>
        <xdr:cNvPr id="4" name="Picture 3">
          <a:hlinkClick xmlns:r="http://schemas.openxmlformats.org/officeDocument/2006/relationships" r:id="rId1"/>
          <a:extLst>
            <a:ext uri="{FF2B5EF4-FFF2-40B4-BE49-F238E27FC236}">
              <a16:creationId xmlns:a16="http://schemas.microsoft.com/office/drawing/2014/main" id="{57E4DDF1-92E0-4D46-B0ED-A96CC3F797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09600" y="282575"/>
          <a:ext cx="2273813" cy="963170"/>
        </a:xfrm>
        <a:prstGeom prst="rect">
          <a:avLst/>
        </a:prstGeom>
      </xdr:spPr>
    </xdr:pic>
    <xdr:clientData/>
  </xdr:twoCellAnchor>
  <xdr:twoCellAnchor editAs="oneCell">
    <xdr:from>
      <xdr:col>1</xdr:col>
      <xdr:colOff>2536826</xdr:colOff>
      <xdr:row>1</xdr:row>
      <xdr:rowOff>97202</xdr:rowOff>
    </xdr:from>
    <xdr:to>
      <xdr:col>1</xdr:col>
      <xdr:colOff>6229350</xdr:colOff>
      <xdr:row>1</xdr:row>
      <xdr:rowOff>1085850</xdr:rowOff>
    </xdr:to>
    <xdr:pic>
      <xdr:nvPicPr>
        <xdr:cNvPr id="5" name="Picture 4">
          <a:hlinkClick xmlns:r="http://schemas.openxmlformats.org/officeDocument/2006/relationships" r:id="rId1"/>
          <a:extLst>
            <a:ext uri="{FF2B5EF4-FFF2-40B4-BE49-F238E27FC236}">
              <a16:creationId xmlns:a16="http://schemas.microsoft.com/office/drawing/2014/main" id="{30145ED7-44F1-4881-874E-2FEE5C486F64}"/>
            </a:ext>
          </a:extLst>
        </xdr:cNvPr>
        <xdr:cNvPicPr>
          <a:picLocks noChangeAspect="1"/>
        </xdr:cNvPicPr>
      </xdr:nvPicPr>
      <xdr:blipFill>
        <a:blip xmlns:r="http://schemas.openxmlformats.org/officeDocument/2006/relationships" r:embed="rId3"/>
        <a:stretch>
          <a:fillRect/>
        </a:stretch>
      </xdr:blipFill>
      <xdr:spPr>
        <a:xfrm>
          <a:off x="2724151" y="262302"/>
          <a:ext cx="3692524" cy="9854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30</xdr:col>
      <xdr:colOff>6350</xdr:colOff>
      <xdr:row>22</xdr:row>
      <xdr:rowOff>127000</xdr:rowOff>
    </xdr:from>
    <xdr:ext cx="4178300" cy="3333750"/>
    <xdr:graphicFrame macro="">
      <xdr:nvGraphicFramePr>
        <xdr:cNvPr id="4" name="Chart 3" title="Chart">
          <a:extLst>
            <a:ext uri="{FF2B5EF4-FFF2-40B4-BE49-F238E27FC236}">
              <a16:creationId xmlns:a16="http://schemas.microsoft.com/office/drawing/2014/main" id="{F1792317-754A-4055-AB2A-B2DFB48044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xdr:from>
      <xdr:col>6</xdr:col>
      <xdr:colOff>0</xdr:colOff>
      <xdr:row>3</xdr:row>
      <xdr:rowOff>139700</xdr:rowOff>
    </xdr:from>
    <xdr:to>
      <xdr:col>8</xdr:col>
      <xdr:colOff>57150</xdr:colOff>
      <xdr:row>20</xdr:row>
      <xdr:rowOff>114300</xdr:rowOff>
    </xdr:to>
    <xdr:cxnSp macro="">
      <xdr:nvCxnSpPr>
        <xdr:cNvPr id="19" name="Straight Arrow Connector 5">
          <a:extLst>
            <a:ext uri="{FF2B5EF4-FFF2-40B4-BE49-F238E27FC236}">
              <a16:creationId xmlns:a16="http://schemas.microsoft.com/office/drawing/2014/main" id="{5086BC4E-F61F-4BCB-B733-AC462A447CE2}"/>
            </a:ext>
            <a:ext uri="{147F2762-F138-4A5C-976F-8EAC2B608ADB}">
              <a16:predDERef xmlns:a16="http://schemas.microsoft.com/office/drawing/2014/main" pred="{F1792317-754A-4055-AB2A-B2DFB4804453}"/>
            </a:ext>
          </a:extLst>
        </xdr:cNvPr>
        <xdr:cNvCxnSpPr/>
      </xdr:nvCxnSpPr>
      <xdr:spPr>
        <a:xfrm flipV="1">
          <a:off x="7645400" y="673100"/>
          <a:ext cx="488950" cy="2794000"/>
        </a:xfrm>
        <a:prstGeom prst="straightConnector1">
          <a:avLst/>
        </a:prstGeom>
        <a:ln w="38100">
          <a:solidFill>
            <a:srgbClr val="018935"/>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746125</xdr:colOff>
      <xdr:row>32</xdr:row>
      <xdr:rowOff>117475</xdr:rowOff>
    </xdr:from>
    <xdr:to>
      <xdr:col>8</xdr:col>
      <xdr:colOff>34925</xdr:colOff>
      <xdr:row>50</xdr:row>
      <xdr:rowOff>101601</xdr:rowOff>
    </xdr:to>
    <xdr:cxnSp macro="">
      <xdr:nvCxnSpPr>
        <xdr:cNvPr id="11" name="Straight Arrow Connector 10">
          <a:extLst>
            <a:ext uri="{FF2B5EF4-FFF2-40B4-BE49-F238E27FC236}">
              <a16:creationId xmlns:a16="http://schemas.microsoft.com/office/drawing/2014/main" id="{B489184D-F644-4D9C-BD13-2A0C4BCDBD55}"/>
            </a:ext>
          </a:extLst>
        </xdr:cNvPr>
        <xdr:cNvCxnSpPr/>
      </xdr:nvCxnSpPr>
      <xdr:spPr>
        <a:xfrm flipV="1">
          <a:off x="7664450" y="5613400"/>
          <a:ext cx="685800" cy="2955926"/>
        </a:xfrm>
        <a:prstGeom prst="straightConnector1">
          <a:avLst/>
        </a:prstGeom>
        <a:ln w="38100">
          <a:solidFill>
            <a:srgbClr val="018935"/>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69850</xdr:colOff>
      <xdr:row>16</xdr:row>
      <xdr:rowOff>158750</xdr:rowOff>
    </xdr:from>
    <xdr:to>
      <xdr:col>24</xdr:col>
      <xdr:colOff>3644900</xdr:colOff>
      <xdr:row>31</xdr:row>
      <xdr:rowOff>158750</xdr:rowOff>
    </xdr:to>
    <xdr:sp macro="" textlink="">
      <xdr:nvSpPr>
        <xdr:cNvPr id="15" name="TextBox 14">
          <a:extLst>
            <a:ext uri="{FF2B5EF4-FFF2-40B4-BE49-F238E27FC236}">
              <a16:creationId xmlns:a16="http://schemas.microsoft.com/office/drawing/2014/main" id="{2FA10373-0458-46F7-B86D-4CD9F70DC877}"/>
            </a:ext>
          </a:extLst>
        </xdr:cNvPr>
        <xdr:cNvSpPr txBox="1"/>
      </xdr:nvSpPr>
      <xdr:spPr>
        <a:xfrm>
          <a:off x="13296900" y="2819400"/>
          <a:ext cx="3575050" cy="26289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dk1"/>
              </a:solidFill>
              <a:effectLst/>
              <a:latin typeface="+mn-lt"/>
              <a:ea typeface="+mn-ea"/>
              <a:cs typeface="+mn-cs"/>
            </a:rPr>
            <a:t>Any cells that have a light green background with a dark green font </a:t>
          </a:r>
          <a:r>
            <a:rPr lang="en-US"/>
            <a:t> </a:t>
          </a:r>
          <a:r>
            <a:rPr lang="en-US" sz="1100" b="0" i="0" u="none" strike="noStrike">
              <a:solidFill>
                <a:schemeClr val="dk1"/>
              </a:solidFill>
              <a:effectLst/>
              <a:latin typeface="+mn-lt"/>
              <a:ea typeface="+mn-ea"/>
              <a:cs typeface="+mn-cs"/>
            </a:rPr>
            <a:t>have a TOTAL EXPENSE less than the OTE of the new sales rep.</a:t>
          </a:r>
          <a:r>
            <a:rPr lang="en-US"/>
            <a:t> </a:t>
          </a:r>
          <a:r>
            <a:rPr lang="en-US" sz="1100" b="0" i="0" u="none" strike="noStrike">
              <a:solidFill>
                <a:schemeClr val="dk1"/>
              </a:solidFill>
              <a:effectLst/>
              <a:latin typeface="+mn-lt"/>
              <a:ea typeface="+mn-ea"/>
              <a:cs typeface="+mn-cs"/>
            </a:rPr>
            <a:t>If you can hire and full ramp in this range, it can make more sense </a:t>
          </a:r>
          <a:r>
            <a:rPr lang="en-US"/>
            <a:t> </a:t>
          </a:r>
          <a:r>
            <a:rPr lang="en-US" sz="1100" b="0" i="0" u="none" strike="noStrike">
              <a:solidFill>
                <a:schemeClr val="dk1"/>
              </a:solidFill>
              <a:effectLst/>
              <a:latin typeface="+mn-lt"/>
              <a:ea typeface="+mn-ea"/>
              <a:cs typeface="+mn-cs"/>
            </a:rPr>
            <a:t>to hire externally. </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Everything</a:t>
          </a:r>
          <a:r>
            <a:rPr lang="en-US" sz="1100" b="0" i="0" u="none" strike="noStrike" baseline="0">
              <a:solidFill>
                <a:schemeClr val="dk1"/>
              </a:solidFill>
              <a:effectLst/>
              <a:latin typeface="+mn-lt"/>
              <a:ea typeface="+mn-ea"/>
              <a:cs typeface="+mn-cs"/>
            </a:rPr>
            <a:t> outside this area suggests that an internal hire is a better path.</a:t>
          </a:r>
          <a:endParaRPr lang="en-US" sz="1100"/>
        </a:p>
      </xdr:txBody>
    </xdr:sp>
    <xdr:clientData/>
  </xdr:twoCellAnchor>
  <xdr:twoCellAnchor>
    <xdr:from>
      <xdr:col>8</xdr:col>
      <xdr:colOff>57150</xdr:colOff>
      <xdr:row>21</xdr:row>
      <xdr:rowOff>31749</xdr:rowOff>
    </xdr:from>
    <xdr:to>
      <xdr:col>20</xdr:col>
      <xdr:colOff>349250</xdr:colOff>
      <xdr:row>28</xdr:row>
      <xdr:rowOff>146050</xdr:rowOff>
    </xdr:to>
    <xdr:sp macro="" textlink="">
      <xdr:nvSpPr>
        <xdr:cNvPr id="16" name="TextBox 15">
          <a:extLst>
            <a:ext uri="{FF2B5EF4-FFF2-40B4-BE49-F238E27FC236}">
              <a16:creationId xmlns:a16="http://schemas.microsoft.com/office/drawing/2014/main" id="{8F074C1A-BFA5-4D64-879A-B19A7CB0B580}"/>
            </a:ext>
          </a:extLst>
        </xdr:cNvPr>
        <xdr:cNvSpPr txBox="1"/>
      </xdr:nvSpPr>
      <xdr:spPr>
        <a:xfrm>
          <a:off x="8159750" y="3517899"/>
          <a:ext cx="4578350" cy="1428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a:t>This data table </a:t>
          </a:r>
          <a:r>
            <a:rPr lang="en-US" sz="900" baseline="0"/>
            <a:t>allows users to explore different input values for the TIME TO FULLY RAMP and the TIME TO HIRE for the formulas and see how the changes in those values affect the TOTAL Expense.</a:t>
          </a:r>
        </a:p>
        <a:p>
          <a:endParaRPr lang="en-US" sz="500" baseline="0"/>
        </a:p>
        <a:p>
          <a:r>
            <a:rPr lang="en-US" sz="900" b="1" baseline="0"/>
            <a:t>EXAMPLE 1 </a:t>
          </a:r>
          <a:r>
            <a:rPr lang="en-US" sz="900" baseline="0"/>
            <a:t>- If all input are the same, but MONTH TO HIRE and MONTHS to FULLY RAMP are both 0.5 Months, then the TOTAL EXPENSE is $188k.</a:t>
          </a:r>
        </a:p>
        <a:p>
          <a:endParaRPr lang="en-US" sz="500" baseline="0"/>
        </a:p>
        <a:p>
          <a:pPr marL="0" marR="0" lvl="0" indent="0" defTabSz="914400" eaLnBrk="1" fontAlgn="auto" latinLnBrk="0" hangingPunct="1">
            <a:lnSpc>
              <a:spcPct val="100000"/>
            </a:lnSpc>
            <a:spcBef>
              <a:spcPts val="0"/>
            </a:spcBef>
            <a:spcAft>
              <a:spcPts val="0"/>
            </a:spcAft>
            <a:buClrTx/>
            <a:buSzTx/>
            <a:buFontTx/>
            <a:buNone/>
            <a:tabLst/>
            <a:defRPr/>
          </a:pPr>
          <a:r>
            <a:rPr lang="en-US" sz="900" b="1" baseline="0">
              <a:solidFill>
                <a:schemeClr val="dk1"/>
              </a:solidFill>
              <a:effectLst/>
              <a:latin typeface="+mn-lt"/>
              <a:ea typeface="+mn-ea"/>
              <a:cs typeface="+mn-cs"/>
            </a:rPr>
            <a:t>EXAMPLE 1 </a:t>
          </a:r>
          <a:r>
            <a:rPr lang="en-US" sz="900" baseline="0">
              <a:solidFill>
                <a:schemeClr val="dk1"/>
              </a:solidFill>
              <a:effectLst/>
              <a:latin typeface="+mn-lt"/>
              <a:ea typeface="+mn-ea"/>
              <a:cs typeface="+mn-cs"/>
            </a:rPr>
            <a:t>- If all input are the same, but MONTH TO HIRE and MONTHS to FULLY RAMP are both 10 Months, then the TOTAL EXPENSE is $1.382M.</a:t>
          </a:r>
          <a:endParaRPr lang="en-US" sz="900" b="1"/>
        </a:p>
      </xdr:txBody>
    </xdr:sp>
    <xdr:clientData/>
  </xdr:twoCellAnchor>
  <xdr:twoCellAnchor>
    <xdr:from>
      <xdr:col>30</xdr:col>
      <xdr:colOff>12699</xdr:colOff>
      <xdr:row>42</xdr:row>
      <xdr:rowOff>146050</xdr:rowOff>
    </xdr:from>
    <xdr:to>
      <xdr:col>35</xdr:col>
      <xdr:colOff>984250</xdr:colOff>
      <xdr:row>46</xdr:row>
      <xdr:rowOff>95250</xdr:rowOff>
    </xdr:to>
    <xdr:sp macro="" textlink="">
      <xdr:nvSpPr>
        <xdr:cNvPr id="18" name="TextBox 16">
          <a:extLst>
            <a:ext uri="{FF2B5EF4-FFF2-40B4-BE49-F238E27FC236}">
              <a16:creationId xmlns:a16="http://schemas.microsoft.com/office/drawing/2014/main" id="{A50B358A-3299-43E2-839B-0BCFC06784AC}"/>
            </a:ext>
            <a:ext uri="{147F2762-F138-4A5C-976F-8EAC2B608ADB}">
              <a16:predDERef xmlns:a16="http://schemas.microsoft.com/office/drawing/2014/main" pred="{8F074C1A-BFA5-4D64-879A-B19A7CB0B580}"/>
            </a:ext>
          </a:extLst>
        </xdr:cNvPr>
        <xdr:cNvSpPr txBox="1"/>
      </xdr:nvSpPr>
      <xdr:spPr>
        <a:xfrm>
          <a:off x="20154899" y="6153150"/>
          <a:ext cx="4178301"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a:solidFill>
                <a:schemeClr val="dk1"/>
              </a:solidFill>
              <a:latin typeface="+mn-lt"/>
              <a:ea typeface="+mn-lt"/>
              <a:cs typeface="+mn-lt"/>
            </a:rPr>
            <a:t>The chart above demonstrates that an internal hire will always be more economical than an external hire, regardless of the tenure of the previous sales rep. Higher is better.</a:t>
          </a:r>
        </a:p>
      </xdr:txBody>
    </xdr:sp>
    <xdr:clientData/>
  </xdr:twoCellAnchor>
  <xdr:twoCellAnchor editAs="oneCell">
    <xdr:from>
      <xdr:col>24</xdr:col>
      <xdr:colOff>514349</xdr:colOff>
      <xdr:row>24</xdr:row>
      <xdr:rowOff>93782</xdr:rowOff>
    </xdr:from>
    <xdr:to>
      <xdr:col>24</xdr:col>
      <xdr:colOff>2998372</xdr:colOff>
      <xdr:row>31</xdr:row>
      <xdr:rowOff>5767</xdr:rowOff>
    </xdr:to>
    <xdr:pic>
      <xdr:nvPicPr>
        <xdr:cNvPr id="14" name="Picture 13">
          <a:extLst>
            <a:ext uri="{FF2B5EF4-FFF2-40B4-BE49-F238E27FC236}">
              <a16:creationId xmlns:a16="http://schemas.microsoft.com/office/drawing/2014/main" id="{48EE6085-D32A-46F2-B971-2420769668FE}"/>
            </a:ext>
          </a:extLst>
        </xdr:cNvPr>
        <xdr:cNvPicPr>
          <a:picLocks noChangeAspect="1"/>
        </xdr:cNvPicPr>
      </xdr:nvPicPr>
      <xdr:blipFill>
        <a:blip xmlns:r="http://schemas.openxmlformats.org/officeDocument/2006/relationships" r:embed="rId2"/>
        <a:stretch>
          <a:fillRect/>
        </a:stretch>
      </xdr:blipFill>
      <xdr:spPr>
        <a:xfrm>
          <a:off x="13741399" y="4170482"/>
          <a:ext cx="2484023" cy="1056079"/>
        </a:xfrm>
        <a:prstGeom prst="rect">
          <a:avLst/>
        </a:prstGeom>
      </xdr:spPr>
    </xdr:pic>
    <xdr:clientData/>
  </xdr:twoCellAnchor>
  <xdr:twoCellAnchor>
    <xdr:from>
      <xdr:col>10</xdr:col>
      <xdr:colOff>38100</xdr:colOff>
      <xdr:row>5</xdr:row>
      <xdr:rowOff>19050</xdr:rowOff>
    </xdr:from>
    <xdr:to>
      <xdr:col>24</xdr:col>
      <xdr:colOff>88900</xdr:colOff>
      <xdr:row>17</xdr:row>
      <xdr:rowOff>12700</xdr:rowOff>
    </xdr:to>
    <xdr:cxnSp macro="">
      <xdr:nvCxnSpPr>
        <xdr:cNvPr id="20" name="Straight Arrow Connector 5">
          <a:extLst>
            <a:ext uri="{FF2B5EF4-FFF2-40B4-BE49-F238E27FC236}">
              <a16:creationId xmlns:a16="http://schemas.microsoft.com/office/drawing/2014/main" id="{49B1DB78-1744-4BD5-B0A6-4D2DC7252746}"/>
            </a:ext>
            <a:ext uri="{147F2762-F138-4A5C-976F-8EAC2B608ADB}">
              <a16:predDERef xmlns:a16="http://schemas.microsoft.com/office/drawing/2014/main" pred="{F1792317-754A-4055-AB2A-B2DFB4804453}"/>
            </a:ext>
          </a:extLst>
        </xdr:cNvPr>
        <xdr:cNvCxnSpPr/>
      </xdr:nvCxnSpPr>
      <xdr:spPr>
        <a:xfrm flipH="1" flipV="1">
          <a:off x="8807450" y="844550"/>
          <a:ext cx="4508500" cy="19939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11</xdr:row>
      <xdr:rowOff>101600</xdr:rowOff>
    </xdr:from>
    <xdr:to>
      <xdr:col>30</xdr:col>
      <xdr:colOff>419100</xdr:colOff>
      <xdr:row>57</xdr:row>
      <xdr:rowOff>114300</xdr:rowOff>
    </xdr:to>
    <xdr:cxnSp macro="">
      <xdr:nvCxnSpPr>
        <xdr:cNvPr id="7" name="Connector: Elbow 6">
          <a:extLst>
            <a:ext uri="{FF2B5EF4-FFF2-40B4-BE49-F238E27FC236}">
              <a16:creationId xmlns:a16="http://schemas.microsoft.com/office/drawing/2014/main" id="{2FE4D34C-9B17-44F1-A03D-4B88C7D85AF1}"/>
            </a:ext>
          </a:extLst>
        </xdr:cNvPr>
        <xdr:cNvCxnSpPr/>
      </xdr:nvCxnSpPr>
      <xdr:spPr>
        <a:xfrm flipV="1">
          <a:off x="7677150" y="1924050"/>
          <a:ext cx="13017500" cy="7747000"/>
        </a:xfrm>
        <a:prstGeom prst="bentConnector3">
          <a:avLst>
            <a:gd name="adj1" fmla="val 96390"/>
          </a:avLst>
        </a:prstGeom>
        <a:ln w="38100">
          <a:solidFill>
            <a:srgbClr val="C092D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12700</xdr:colOff>
      <xdr:row>27</xdr:row>
      <xdr:rowOff>101600</xdr:rowOff>
    </xdr:from>
    <xdr:to>
      <xdr:col>20</xdr:col>
      <xdr:colOff>324608</xdr:colOff>
      <xdr:row>57</xdr:row>
      <xdr:rowOff>113732</xdr:rowOff>
    </xdr:to>
    <xdr:cxnSp macro="">
      <xdr:nvCxnSpPr>
        <xdr:cNvPr id="22" name="Connector: Elbow 21">
          <a:extLst>
            <a:ext uri="{FF2B5EF4-FFF2-40B4-BE49-F238E27FC236}">
              <a16:creationId xmlns:a16="http://schemas.microsoft.com/office/drawing/2014/main" id="{4A0C8DC1-8DB6-4177-B616-C93BAB26E38E}"/>
            </a:ext>
          </a:extLst>
        </xdr:cNvPr>
        <xdr:cNvCxnSpPr/>
      </xdr:nvCxnSpPr>
      <xdr:spPr>
        <a:xfrm>
          <a:off x="7689566" y="4717197"/>
          <a:ext cx="5029389" cy="4983139"/>
        </a:xfrm>
        <a:prstGeom prst="bentConnector3">
          <a:avLst>
            <a:gd name="adj1" fmla="val 1711"/>
          </a:avLst>
        </a:prstGeom>
        <a:ln w="38100">
          <a:solidFill>
            <a:srgbClr val="C092D2"/>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Cliff Rosell" id="{9B66D270-D670-438B-85AA-152C53353517}" userId="S::Cliff.rosell@sbigrowth.com::a27cb9a7-e844-4dea-9d5e-16afb67e892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 dT="2022-02-07T19:08:38.26" personId="{9B66D270-D670-438B-85AA-152C53353517}" id="{6485E0F7-81EC-4BBF-B375-FCCEB5B0E401}">
    <text>How many months was the departing sales rep at the company?
Ex. If they were here for 3.5 years from their start date to their end date, then the rep's tenure was 42 months.
NOTE: 21.6 Months is the average tenure of an Enterprise sales rep.</text>
  </threadedComment>
  <threadedComment ref="B4" dT="2022-02-07T19:12:49.92" personId="{9B66D270-D670-438B-85AA-152C53353517}" id="{06C4ABD7-23D9-483E-8B74-E2A34BD4C2B8}">
    <text>OTE (On Target Earnings) = Base Salaray + Variable</text>
  </threadedComment>
  <threadedComment ref="B5" dT="2022-02-07T19:12:55.30" personId="{9B66D270-D670-438B-85AA-152C53353517}" id="{D45D9AE5-98FA-468B-A736-4BDD80402845}">
    <text>OTE (On Target Earnings) = Base Salaray + Variable</text>
  </threadedComment>
  <threadedComment ref="B6" dT="2022-02-07T19:14:28.81" personId="{9B66D270-D670-438B-85AA-152C53353517}" id="{3F0B355B-3CC2-4C37-9CC7-74E372089487}">
    <text>This model works off of annaul OTEs and Annual Quotas.
The annual quota is really designed for NEW business, but it can be used New, Renewal, Services, and more.</text>
  </threadedComment>
  <threadedComment ref="B7" dT="2022-02-07T19:24:00.91" personId="{9B66D270-D670-438B-85AA-152C53353517}" id="{26DF7C20-2944-4D81-A3FF-3886BB177299}">
    <text>Often when a sales rep departs, their entire pipeline is not lost as some of the pipeline is redestributed to other reps.  This input allows the you to modify how much of the pipeline is lost.
Generally, the larger the gap between sales reps, the larger the impact on the revenue lost, this model does not take that into account. It takes the input and applies it to the entire time when there is no sales rep in place.</text>
  </threadedComment>
  <threadedComment ref="B8" dT="2022-02-07T19:27:01.12" personId="{9B66D270-D670-438B-85AA-152C53353517}" id="{ACC61211-5930-4D54-AFBA-7FCFC0A168F6}">
    <text>Fully Ramp is not fully onboarded.  Fully Ramp means how long until this rep is hitting their full quota from their start date in months.
Often sales models and financial models will have a 6 months ramp, but the actual data shows that it can be a 3, 4 or even 5 quarters to fully ramp.  The example above is geared more towards Enterprise sales with long and complex sales cycles.  However, even in high velocity sales, with short sales cycles, the model ramp time is often less than the actual ramp time.</text>
  </threadedComment>
  <threadedComment ref="B10" dT="2022-02-07T19:32:11.05" personId="{9B66D270-D670-438B-85AA-152C53353517}" id="{FE37FED9-4BDA-4E40-9732-740371EC9136}">
    <text>If you have a subscription business, your existing business often grows.  A rule of tumb is that a high growth company will have a Net Revenue Retention above 130%. Meaning, the company will grow annually by 130% from only their existing customers.
If you don't have anyone selling NEW business, you can't get the growth on the NEW business.</text>
  </threadedComment>
  <threadedComment ref="B12" dT="2022-02-07T19:33:50.13" personId="{9B66D270-D670-438B-85AA-152C53353517}" id="{B6171244-5E97-4712-AA31-2C095036CD19}">
    <text>NOTE: 6.2 Months is the average months to backfill an Enterprise sales rep</text>
  </threadedComment>
  <threadedComment ref="B14" dT="2022-02-07T19:40:18.65" personId="{9B66D270-D670-438B-85AA-152C53353517}" id="{DF9503AB-1578-45F2-A264-6541C621264A}">
    <text>If a Head Hunter is used to find a replacement sales rep, their fee can often range anywhere from 10% to 40% of the ANNUAL OTE of the sales rep.  If you don't use a head hunter, enter 0%.</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D2ABE-E74B-4738-93F9-0BC8248ADDF1}">
  <sheetPr>
    <tabColor theme="5"/>
  </sheetPr>
  <dimension ref="A1:C34"/>
  <sheetViews>
    <sheetView showGridLines="0" showRowColHeaders="0" topLeftCell="A7" zoomScale="150" zoomScaleNormal="150" workbookViewId="0">
      <selection activeCell="B26" sqref="B26"/>
    </sheetView>
  </sheetViews>
  <sheetFormatPr defaultColWidth="0" defaultRowHeight="12.3" zeroHeight="1" x14ac:dyDescent="0.4"/>
  <cols>
    <col min="1" max="1" width="2.609375" style="56" customWidth="1"/>
    <col min="2" max="2" width="135.83203125" style="56" customWidth="1"/>
    <col min="3" max="3" width="2.609375" style="56" customWidth="1"/>
    <col min="4" max="16384" width="8.71875" style="56" hidden="1"/>
  </cols>
  <sheetData>
    <row r="1" spans="2:2" x14ac:dyDescent="0.4"/>
    <row r="2" spans="2:2" ht="94" customHeight="1" x14ac:dyDescent="0.4"/>
    <row r="3" spans="2:2" ht="12.6" thickBot="1" x14ac:dyDescent="0.45">
      <c r="B3" s="92" t="s">
        <v>74</v>
      </c>
    </row>
    <row r="4" spans="2:2" ht="13" customHeight="1" thickBot="1" x14ac:dyDescent="0.45">
      <c r="B4" s="63" t="s">
        <v>56</v>
      </c>
    </row>
    <row r="5" spans="2:2" ht="13" customHeight="1" x14ac:dyDescent="0.4">
      <c r="B5" s="50" t="s">
        <v>75</v>
      </c>
    </row>
    <row r="6" spans="2:2" ht="26.05" customHeight="1" x14ac:dyDescent="0.4">
      <c r="B6" s="64" t="s">
        <v>76</v>
      </c>
    </row>
    <row r="7" spans="2:2" ht="26.05" customHeight="1" x14ac:dyDescent="0.4">
      <c r="B7" s="65" t="s">
        <v>77</v>
      </c>
    </row>
    <row r="8" spans="2:2" ht="13" customHeight="1" x14ac:dyDescent="0.4">
      <c r="B8" s="60" t="s">
        <v>62</v>
      </c>
    </row>
    <row r="9" spans="2:2" ht="13" customHeight="1" x14ac:dyDescent="0.4">
      <c r="B9" s="60" t="s">
        <v>63</v>
      </c>
    </row>
    <row r="10" spans="2:2" ht="13" customHeight="1" thickBot="1" x14ac:dyDescent="0.45"/>
    <row r="11" spans="2:2" ht="13" customHeight="1" thickBot="1" x14ac:dyDescent="0.45">
      <c r="B11" s="63" t="s">
        <v>53</v>
      </c>
    </row>
    <row r="12" spans="2:2" ht="13" customHeight="1" x14ac:dyDescent="0.4">
      <c r="B12" s="53" t="s">
        <v>54</v>
      </c>
    </row>
    <row r="13" spans="2:2" ht="13" customHeight="1" x14ac:dyDescent="0.55000000000000004">
      <c r="B13" s="59" t="s">
        <v>58</v>
      </c>
    </row>
    <row r="14" spans="2:2" ht="13" customHeight="1" x14ac:dyDescent="0.4">
      <c r="B14" s="57"/>
    </row>
    <row r="15" spans="2:2" ht="13" customHeight="1" x14ac:dyDescent="0.4">
      <c r="B15" s="58" t="s">
        <v>78</v>
      </c>
    </row>
    <row r="16" spans="2:2" ht="13" customHeight="1" x14ac:dyDescent="0.4">
      <c r="B16" s="54" t="s">
        <v>55</v>
      </c>
    </row>
    <row r="17" spans="2:2" ht="13" customHeight="1" x14ac:dyDescent="0.4">
      <c r="B17" s="62" t="s">
        <v>60</v>
      </c>
    </row>
    <row r="18" spans="2:2" ht="13" customHeight="1" x14ac:dyDescent="0.4">
      <c r="B18" s="62" t="s">
        <v>61</v>
      </c>
    </row>
    <row r="19" spans="2:2" ht="13" customHeight="1" x14ac:dyDescent="0.4">
      <c r="B19" s="57"/>
    </row>
    <row r="20" spans="2:2" ht="13" customHeight="1" x14ac:dyDescent="0.4">
      <c r="B20" s="61" t="s">
        <v>59</v>
      </c>
    </row>
    <row r="21" spans="2:2" ht="13" customHeight="1" x14ac:dyDescent="0.4">
      <c r="B21" s="51" t="s">
        <v>65</v>
      </c>
    </row>
    <row r="22" spans="2:2" ht="13" customHeight="1" x14ac:dyDescent="0.4">
      <c r="B22" s="65" t="s">
        <v>66</v>
      </c>
    </row>
    <row r="23" spans="2:2" ht="13" customHeight="1" x14ac:dyDescent="0.4">
      <c r="B23" s="60" t="s">
        <v>79</v>
      </c>
    </row>
    <row r="24" spans="2:2" ht="13" customHeight="1" x14ac:dyDescent="0.4">
      <c r="B24" s="57"/>
    </row>
    <row r="25" spans="2:2" ht="13" customHeight="1" x14ac:dyDescent="0.4">
      <c r="B25" s="55" t="s">
        <v>64</v>
      </c>
    </row>
    <row r="26" spans="2:2" ht="13" customHeight="1" thickBot="1" x14ac:dyDescent="0.45">
      <c r="B26" s="52" t="s">
        <v>80</v>
      </c>
    </row>
    <row r="27" spans="2:2" ht="13" customHeight="1" x14ac:dyDescent="0.4"/>
    <row r="28" spans="2:2" x14ac:dyDescent="0.4"/>
    <row r="33" s="56" customFormat="1" hidden="1" x14ac:dyDescent="0.4"/>
    <row r="34" s="56" customFormat="1" hidden="1" x14ac:dyDescent="0.4"/>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E1E69-DD62-419C-9380-99A3D4F4076E}">
  <sheetPr>
    <tabColor theme="1"/>
    <outlinePr summaryBelow="0" summaryRight="0"/>
  </sheetPr>
  <dimension ref="A1:AK59"/>
  <sheetViews>
    <sheetView showGridLines="0" tabSelected="1" topLeftCell="S1" zoomScale="107" zoomScaleNormal="145" workbookViewId="0">
      <selection activeCell="AJ16" sqref="AJ16"/>
    </sheetView>
  </sheetViews>
  <sheetFormatPr defaultColWidth="0" defaultRowHeight="0" customHeight="1" zeroHeight="1" x14ac:dyDescent="0.4"/>
  <cols>
    <col min="1" max="1" width="2.609375" customWidth="1"/>
    <col min="2" max="2" width="46.5546875" bestFit="1" customWidth="1"/>
    <col min="3" max="3" width="14.38671875" customWidth="1"/>
    <col min="4" max="4" width="2.609375" customWidth="1"/>
    <col min="5" max="5" width="33" bestFit="1" customWidth="1"/>
    <col min="6" max="6" width="10.71875" customWidth="1"/>
    <col min="7" max="7" width="2.71875" customWidth="1"/>
    <col min="8" max="8" width="3.38671875" customWidth="1"/>
    <col min="9" max="9" width="4.38671875" customWidth="1"/>
    <col min="10" max="21" width="6.44140625" customWidth="1"/>
    <col min="22" max="22" width="2.71875" customWidth="1"/>
    <col min="23" max="23" width="1.38671875" customWidth="1"/>
    <col min="24" max="24" width="2.71875" customWidth="1"/>
    <col min="25" max="25" width="57.27734375" style="94" customWidth="1"/>
    <col min="26" max="26" width="10.71875" customWidth="1"/>
    <col min="27" max="27" width="27.83203125" customWidth="1"/>
    <col min="28" max="28" width="2.71875" customWidth="1"/>
    <col min="29" max="29" width="1.38671875" customWidth="1"/>
    <col min="30" max="30" width="2.71875" customWidth="1"/>
    <col min="31" max="31" width="6.88671875" bestFit="1" customWidth="1"/>
    <col min="32" max="35" width="9.609375" customWidth="1"/>
    <col min="36" max="36" width="14.38671875" customWidth="1"/>
    <col min="37" max="37" width="2.71875" customWidth="1"/>
    <col min="38" max="16384" width="4.38671875" hidden="1"/>
  </cols>
  <sheetData>
    <row r="1" spans="2:37" ht="12.3" x14ac:dyDescent="0.4">
      <c r="B1" s="89" t="s">
        <v>0</v>
      </c>
      <c r="C1" s="90"/>
      <c r="D1" s="90"/>
      <c r="E1" s="90"/>
      <c r="F1" s="90"/>
      <c r="G1" s="90"/>
      <c r="H1" s="90"/>
      <c r="I1" s="90"/>
      <c r="J1" s="90"/>
      <c r="K1" s="90"/>
      <c r="L1" s="90"/>
      <c r="M1" s="90"/>
      <c r="N1" s="90"/>
      <c r="O1" s="90"/>
      <c r="P1" s="90"/>
      <c r="Q1" s="90"/>
      <c r="R1" s="90"/>
      <c r="S1" s="90"/>
      <c r="T1" s="90"/>
      <c r="U1" s="90"/>
      <c r="V1" s="1"/>
      <c r="W1" s="2"/>
      <c r="X1" s="1"/>
      <c r="Y1" s="84" t="s">
        <v>71</v>
      </c>
      <c r="Z1" s="84"/>
      <c r="AA1" s="84"/>
      <c r="AB1" s="1"/>
      <c r="AC1" s="2"/>
      <c r="AD1" s="1"/>
      <c r="AE1" s="88" t="s">
        <v>52</v>
      </c>
      <c r="AF1" s="88"/>
      <c r="AG1" s="88"/>
      <c r="AH1" s="88"/>
      <c r="AI1" s="88"/>
      <c r="AJ1" s="88"/>
      <c r="AK1" s="1"/>
    </row>
    <row r="2" spans="2:37" ht="13" customHeight="1" x14ac:dyDescent="0.4">
      <c r="B2" s="91" t="s">
        <v>81</v>
      </c>
      <c r="C2" s="78"/>
      <c r="E2" s="77" t="s">
        <v>82</v>
      </c>
      <c r="F2" s="78"/>
      <c r="H2" s="86" t="s">
        <v>57</v>
      </c>
      <c r="I2" s="87"/>
      <c r="J2" s="87"/>
      <c r="K2" s="87"/>
      <c r="L2" s="87"/>
      <c r="M2" s="87"/>
      <c r="N2" s="87"/>
      <c r="O2" s="87"/>
      <c r="P2" s="87"/>
      <c r="Q2" s="87"/>
      <c r="R2" s="87"/>
      <c r="S2" s="87"/>
      <c r="T2" s="87"/>
      <c r="U2" s="87"/>
      <c r="V2" s="1"/>
      <c r="W2" s="5"/>
      <c r="X2" s="1"/>
      <c r="Y2" s="81" t="s">
        <v>85</v>
      </c>
      <c r="Z2" s="81"/>
      <c r="AA2" s="81"/>
      <c r="AB2" s="1"/>
      <c r="AC2" s="5"/>
      <c r="AD2" s="1"/>
      <c r="AE2" s="81" t="s">
        <v>87</v>
      </c>
      <c r="AF2" s="81"/>
      <c r="AG2" s="81"/>
      <c r="AH2" s="81"/>
      <c r="AI2" s="81"/>
      <c r="AJ2" s="81"/>
      <c r="AK2" s="1"/>
    </row>
    <row r="3" spans="2:37" ht="12.3" x14ac:dyDescent="0.4">
      <c r="B3" s="6" t="s">
        <v>6</v>
      </c>
      <c r="C3" s="26">
        <v>21.6</v>
      </c>
      <c r="E3" s="3" t="s">
        <v>7</v>
      </c>
      <c r="H3" s="36"/>
      <c r="I3" s="36"/>
      <c r="J3" s="79" t="s">
        <v>4</v>
      </c>
      <c r="K3" s="79"/>
      <c r="L3" s="79"/>
      <c r="M3" s="79"/>
      <c r="N3" s="79"/>
      <c r="O3" s="79"/>
      <c r="P3" s="79"/>
      <c r="Q3" s="79"/>
      <c r="R3" s="79"/>
      <c r="S3" s="79"/>
      <c r="T3" s="79"/>
      <c r="U3" s="79"/>
      <c r="V3" s="10"/>
      <c r="W3" s="5"/>
      <c r="X3" s="10"/>
      <c r="Y3" s="81"/>
      <c r="Z3" s="81"/>
      <c r="AA3" s="81"/>
      <c r="AB3" s="10"/>
      <c r="AC3" s="5"/>
      <c r="AD3" s="10"/>
      <c r="AE3" s="81"/>
      <c r="AF3" s="81"/>
      <c r="AG3" s="81"/>
      <c r="AH3" s="81"/>
      <c r="AI3" s="81"/>
      <c r="AJ3" s="81"/>
      <c r="AK3" s="10"/>
    </row>
    <row r="4" spans="2:37" ht="13" customHeight="1" x14ac:dyDescent="0.4">
      <c r="B4" s="6" t="s">
        <v>9</v>
      </c>
      <c r="C4" s="27">
        <v>350000</v>
      </c>
      <c r="E4" s="6" t="s">
        <v>10</v>
      </c>
      <c r="F4" s="7">
        <f>-C4*C12/12</f>
        <v>-180833.33333333334</v>
      </c>
      <c r="H4" s="36"/>
      <c r="I4" s="8">
        <f>F21</f>
        <v>1360986.6666666667</v>
      </c>
      <c r="J4" s="9">
        <v>0.5</v>
      </c>
      <c r="K4" s="9">
        <f>J4+0.5</f>
        <v>1</v>
      </c>
      <c r="L4" s="9">
        <f>K4+0.5</f>
        <v>1.5</v>
      </c>
      <c r="M4" s="9">
        <f>L4+0.5</f>
        <v>2</v>
      </c>
      <c r="N4" s="9">
        <f t="shared" ref="N4:U4" si="0">M4+1</f>
        <v>3</v>
      </c>
      <c r="O4" s="9">
        <f t="shared" si="0"/>
        <v>4</v>
      </c>
      <c r="P4" s="9">
        <f t="shared" si="0"/>
        <v>5</v>
      </c>
      <c r="Q4" s="9">
        <f t="shared" si="0"/>
        <v>6</v>
      </c>
      <c r="R4" s="9">
        <f t="shared" si="0"/>
        <v>7</v>
      </c>
      <c r="S4" s="9">
        <f t="shared" si="0"/>
        <v>8</v>
      </c>
      <c r="T4" s="9">
        <f t="shared" si="0"/>
        <v>9</v>
      </c>
      <c r="U4" s="9">
        <f t="shared" si="0"/>
        <v>10</v>
      </c>
      <c r="V4" s="1"/>
      <c r="W4" s="2"/>
      <c r="X4" s="1"/>
      <c r="Y4" s="81"/>
      <c r="Z4" s="81"/>
      <c r="AA4" s="81"/>
      <c r="AB4" s="1"/>
      <c r="AC4" s="2"/>
      <c r="AD4" s="1"/>
      <c r="AE4" s="81"/>
      <c r="AF4" s="81"/>
      <c r="AG4" s="81"/>
      <c r="AH4" s="81"/>
      <c r="AI4" s="81"/>
      <c r="AJ4" s="81"/>
      <c r="AK4" s="1"/>
    </row>
    <row r="5" spans="2:37" ht="12.3" x14ac:dyDescent="0.4">
      <c r="B5" s="6" t="s">
        <v>14</v>
      </c>
      <c r="C5" s="27">
        <v>380000</v>
      </c>
      <c r="H5" s="85" t="s">
        <v>11</v>
      </c>
      <c r="I5" s="11">
        <v>0.5</v>
      </c>
      <c r="J5" s="16">
        <f t="dataTable" ref="J5:U21" dt2D="1" dtr="1" r1="C12" r2="C8"/>
        <v>187841.66666666669</v>
      </c>
      <c r="K5" s="16">
        <v>211308.33333333331</v>
      </c>
      <c r="L5" s="16">
        <v>234775</v>
      </c>
      <c r="M5" s="16">
        <v>258241.66666666666</v>
      </c>
      <c r="N5" s="16">
        <v>305175</v>
      </c>
      <c r="O5" s="16">
        <v>352108.33333333331</v>
      </c>
      <c r="P5" s="12">
        <v>399041.66666666663</v>
      </c>
      <c r="Q5" s="13">
        <v>445975</v>
      </c>
      <c r="R5" s="13">
        <v>492908.33333333349</v>
      </c>
      <c r="S5" s="13">
        <v>539841.66666666663</v>
      </c>
      <c r="T5" s="13">
        <v>586775</v>
      </c>
      <c r="U5" s="13">
        <v>633708.33333333326</v>
      </c>
      <c r="V5" s="1"/>
      <c r="W5" s="2"/>
      <c r="X5" s="1"/>
      <c r="Y5" s="81"/>
      <c r="Z5" s="81"/>
      <c r="AA5" s="81"/>
      <c r="AB5" s="1"/>
      <c r="AC5" s="2"/>
      <c r="AD5" s="1"/>
      <c r="AE5" s="81"/>
      <c r="AF5" s="81"/>
      <c r="AG5" s="81"/>
      <c r="AH5" s="81"/>
      <c r="AI5" s="81"/>
      <c r="AJ5" s="81"/>
      <c r="AK5" s="1"/>
    </row>
    <row r="6" spans="2:37" ht="12.3" x14ac:dyDescent="0.4">
      <c r="B6" s="6" t="s">
        <v>15</v>
      </c>
      <c r="C6" s="27">
        <v>1400000</v>
      </c>
      <c r="E6" s="3" t="s">
        <v>16</v>
      </c>
      <c r="H6" s="85"/>
      <c r="I6" s="11">
        <f>I5+0.5</f>
        <v>1</v>
      </c>
      <c r="J6" s="16">
        <v>227216.66666666669</v>
      </c>
      <c r="K6" s="16">
        <v>250683.33333333331</v>
      </c>
      <c r="L6" s="16">
        <v>274150</v>
      </c>
      <c r="M6" s="16">
        <v>297616.66666666663</v>
      </c>
      <c r="N6" s="16">
        <v>344550</v>
      </c>
      <c r="O6" s="16">
        <v>391483.33333333331</v>
      </c>
      <c r="P6" s="15">
        <v>438416.66666666663</v>
      </c>
      <c r="Q6" s="16">
        <v>485350</v>
      </c>
      <c r="R6" s="16">
        <v>532283.33333333337</v>
      </c>
      <c r="S6" s="16">
        <v>579216.66666666663</v>
      </c>
      <c r="T6" s="16">
        <v>626150</v>
      </c>
      <c r="U6" s="16">
        <v>673083.33333333326</v>
      </c>
      <c r="V6" s="1"/>
      <c r="W6" s="2"/>
      <c r="X6" s="1"/>
      <c r="AB6" s="1"/>
      <c r="AC6" s="2"/>
      <c r="AD6" s="1"/>
      <c r="AE6" s="81"/>
      <c r="AF6" s="81"/>
      <c r="AG6" s="81"/>
      <c r="AH6" s="81"/>
      <c r="AI6" s="81"/>
      <c r="AJ6" s="81"/>
      <c r="AK6" s="1"/>
    </row>
    <row r="7" spans="2:37" ht="12.3" x14ac:dyDescent="0.4">
      <c r="B7" s="6" t="s">
        <v>19</v>
      </c>
      <c r="C7" s="28">
        <v>0.6</v>
      </c>
      <c r="E7" s="6" t="s">
        <v>20</v>
      </c>
      <c r="F7" s="7">
        <f>C14*C5</f>
        <v>95000</v>
      </c>
      <c r="H7" s="85"/>
      <c r="I7" s="11">
        <v>1.5</v>
      </c>
      <c r="J7" s="16">
        <v>266591.66666666669</v>
      </c>
      <c r="K7" s="16">
        <v>290058.33333333331</v>
      </c>
      <c r="L7" s="16">
        <v>313525</v>
      </c>
      <c r="M7" s="16">
        <v>336991.66666666663</v>
      </c>
      <c r="N7" s="16">
        <v>383925</v>
      </c>
      <c r="O7" s="16">
        <v>430858.33333333331</v>
      </c>
      <c r="P7" s="15">
        <v>477791.66666666663</v>
      </c>
      <c r="Q7" s="16">
        <v>524725</v>
      </c>
      <c r="R7" s="16">
        <v>571658.33333333337</v>
      </c>
      <c r="S7" s="16">
        <v>618591.66666666663</v>
      </c>
      <c r="T7" s="16">
        <v>665525</v>
      </c>
      <c r="U7" s="16">
        <v>712458.33333333326</v>
      </c>
      <c r="V7" s="1"/>
      <c r="W7" s="2"/>
      <c r="X7" s="1"/>
      <c r="Y7" s="95" t="s">
        <v>1</v>
      </c>
      <c r="Z7" s="4" t="s">
        <v>2</v>
      </c>
      <c r="AA7" s="66" t="s">
        <v>3</v>
      </c>
      <c r="AB7" s="1"/>
      <c r="AC7" s="2"/>
      <c r="AD7" s="1"/>
      <c r="AE7" s="81"/>
      <c r="AF7" s="81"/>
      <c r="AG7" s="81"/>
      <c r="AH7" s="81"/>
      <c r="AI7" s="81"/>
      <c r="AJ7" s="81"/>
      <c r="AK7" s="1"/>
    </row>
    <row r="8" spans="2:37" ht="12.3" x14ac:dyDescent="0.4">
      <c r="B8" s="29" t="s">
        <v>67</v>
      </c>
      <c r="C8" s="26">
        <v>12</v>
      </c>
      <c r="E8" s="6" t="s">
        <v>23</v>
      </c>
      <c r="F8" s="7">
        <f>C5-C4</f>
        <v>30000</v>
      </c>
      <c r="H8" s="85"/>
      <c r="I8" s="11">
        <f>I7+0.5</f>
        <v>2</v>
      </c>
      <c r="J8" s="16">
        <v>305966.66666666669</v>
      </c>
      <c r="K8" s="16">
        <v>329433.33333333331</v>
      </c>
      <c r="L8" s="16">
        <v>352900</v>
      </c>
      <c r="M8" s="16">
        <v>376366.66666666663</v>
      </c>
      <c r="N8" s="16">
        <v>423300</v>
      </c>
      <c r="O8" s="16">
        <v>470233.33333333331</v>
      </c>
      <c r="P8" s="15">
        <v>517166.66666666663</v>
      </c>
      <c r="Q8" s="16">
        <v>564100</v>
      </c>
      <c r="R8" s="16">
        <v>611033.33333333349</v>
      </c>
      <c r="S8" s="16">
        <v>657966.66666666663</v>
      </c>
      <c r="T8" s="16">
        <v>704900</v>
      </c>
      <c r="U8" s="16">
        <v>751833.33333333326</v>
      </c>
      <c r="V8" s="1"/>
      <c r="W8" s="2"/>
      <c r="X8" s="1"/>
      <c r="Y8" s="93" t="s">
        <v>72</v>
      </c>
      <c r="Z8" s="7">
        <f>('Advanced Calculator'!J8-'Advanced Calculator'!J6)</f>
        <v>78750</v>
      </c>
      <c r="AA8" s="67" t="s">
        <v>5</v>
      </c>
      <c r="AB8" s="1"/>
      <c r="AC8" s="2"/>
      <c r="AD8" s="1"/>
      <c r="AE8" s="81"/>
      <c r="AF8" s="81"/>
      <c r="AG8" s="81"/>
      <c r="AH8" s="81"/>
      <c r="AI8" s="81"/>
      <c r="AJ8" s="81"/>
      <c r="AK8" s="1"/>
    </row>
    <row r="9" spans="2:37" ht="12.3" x14ac:dyDescent="0.4">
      <c r="C9" s="29"/>
      <c r="E9" s="6" t="s">
        <v>24</v>
      </c>
      <c r="F9" s="7">
        <f>C19*(C20/2000)*C12</f>
        <v>5270</v>
      </c>
      <c r="H9" s="85"/>
      <c r="I9" s="11">
        <v>3</v>
      </c>
      <c r="J9" s="16">
        <v>384716.66666666669</v>
      </c>
      <c r="K9" s="16">
        <v>408183.33333333331</v>
      </c>
      <c r="L9" s="16">
        <v>431650</v>
      </c>
      <c r="M9" s="16">
        <v>455116.66666666663</v>
      </c>
      <c r="N9" s="16">
        <v>502050</v>
      </c>
      <c r="O9" s="16">
        <v>548983.33333333337</v>
      </c>
      <c r="P9" s="16">
        <v>595916.66666666663</v>
      </c>
      <c r="Q9" s="16">
        <v>642850</v>
      </c>
      <c r="R9" s="16">
        <v>689783.33333333337</v>
      </c>
      <c r="S9" s="16">
        <v>736716.66666666663</v>
      </c>
      <c r="T9" s="16">
        <v>783650</v>
      </c>
      <c r="U9" s="16">
        <v>830583.33333333326</v>
      </c>
      <c r="V9" s="1"/>
      <c r="W9" s="2"/>
      <c r="X9" s="1"/>
      <c r="Y9" s="93" t="s">
        <v>73</v>
      </c>
      <c r="Z9" s="7">
        <f>'Advanced Calculator'!M5-'Advanced Calculator'!K5</f>
        <v>46933.333333333343</v>
      </c>
      <c r="AA9" s="67" t="s">
        <v>8</v>
      </c>
      <c r="AB9" s="1"/>
      <c r="AC9" s="2"/>
      <c r="AD9" s="1"/>
      <c r="AE9" s="81"/>
      <c r="AF9" s="81"/>
      <c r="AG9" s="81"/>
      <c r="AH9" s="81"/>
      <c r="AI9" s="81"/>
      <c r="AJ9" s="81"/>
      <c r="AK9" s="1"/>
    </row>
    <row r="10" spans="2:37" ht="12.3" x14ac:dyDescent="0.4">
      <c r="B10" s="29" t="s">
        <v>68</v>
      </c>
      <c r="C10" s="28">
        <v>1.35</v>
      </c>
      <c r="E10" s="6" t="s">
        <v>26</v>
      </c>
      <c r="F10" s="7">
        <f>C16*(C17/2000)*C12</f>
        <v>32550</v>
      </c>
      <c r="H10" s="85"/>
      <c r="I10" s="11">
        <v>4</v>
      </c>
      <c r="J10" s="15">
        <v>463466.66666666669</v>
      </c>
      <c r="K10" s="16">
        <v>486933.33333333331</v>
      </c>
      <c r="L10" s="16">
        <v>510400</v>
      </c>
      <c r="M10" s="16">
        <v>533866.66666666663</v>
      </c>
      <c r="N10" s="16">
        <v>580800</v>
      </c>
      <c r="O10" s="16">
        <v>627733.33333333337</v>
      </c>
      <c r="P10" s="16">
        <v>674666.66666666663</v>
      </c>
      <c r="Q10" s="16">
        <v>721600</v>
      </c>
      <c r="R10" s="16">
        <v>768533.33333333337</v>
      </c>
      <c r="S10" s="16">
        <v>815466.66666666663</v>
      </c>
      <c r="T10" s="16">
        <v>862400</v>
      </c>
      <c r="U10" s="16">
        <v>909333.33333333326</v>
      </c>
      <c r="V10" s="1"/>
      <c r="W10" s="2"/>
      <c r="X10" s="1"/>
      <c r="Y10" s="96" t="s">
        <v>12</v>
      </c>
      <c r="Z10" s="14" t="str">
        <f>TEXT(F21/F51,"#.#x")</f>
        <v>2.2x</v>
      </c>
      <c r="AA10" s="68" t="s">
        <v>13</v>
      </c>
      <c r="AB10" s="1"/>
      <c r="AC10" s="2"/>
      <c r="AD10" s="1"/>
      <c r="AE10" s="69"/>
      <c r="AF10" s="69"/>
      <c r="AG10" s="69"/>
      <c r="AH10" s="69"/>
      <c r="AI10" s="69"/>
      <c r="AJ10" s="69"/>
      <c r="AK10" s="1"/>
    </row>
    <row r="11" spans="2:37" ht="12.6" thickBot="1" x14ac:dyDescent="0.45">
      <c r="C11" s="29"/>
      <c r="H11" s="85"/>
      <c r="I11" s="11">
        <v>5</v>
      </c>
      <c r="J11" s="15">
        <v>542216.66666666674</v>
      </c>
      <c r="K11" s="16">
        <v>565683.33333333337</v>
      </c>
      <c r="L11" s="16">
        <v>589150</v>
      </c>
      <c r="M11" s="16">
        <v>612616.66666666663</v>
      </c>
      <c r="N11" s="16">
        <v>659550</v>
      </c>
      <c r="O11" s="16">
        <v>706483.33333333349</v>
      </c>
      <c r="P11" s="16">
        <v>753416.66666666674</v>
      </c>
      <c r="Q11" s="16">
        <v>800350.00000000012</v>
      </c>
      <c r="R11" s="16">
        <v>847283.33333333349</v>
      </c>
      <c r="S11" s="16">
        <v>894216.66666666674</v>
      </c>
      <c r="T11" s="16">
        <v>941150.00000000012</v>
      </c>
      <c r="U11" s="16">
        <v>988083.33333333326</v>
      </c>
      <c r="V11" s="1"/>
      <c r="W11" s="2"/>
      <c r="X11" s="1"/>
      <c r="Y11" s="96"/>
      <c r="Z11" s="1"/>
      <c r="AA11" s="68"/>
      <c r="AB11" s="1"/>
      <c r="AC11" s="2"/>
      <c r="AD11" s="1"/>
      <c r="AK11" s="1"/>
    </row>
    <row r="12" spans="2:37" ht="12.6" thickBot="1" x14ac:dyDescent="0.45">
      <c r="B12" s="6" t="s">
        <v>27</v>
      </c>
      <c r="C12" s="26">
        <v>6.2</v>
      </c>
      <c r="E12" s="3" t="s">
        <v>28</v>
      </c>
      <c r="H12" s="85"/>
      <c r="I12" s="11">
        <v>6</v>
      </c>
      <c r="J12" s="15">
        <v>620966.66666666663</v>
      </c>
      <c r="K12" s="16">
        <v>644433.33333333337</v>
      </c>
      <c r="L12" s="16">
        <v>667900</v>
      </c>
      <c r="M12" s="16">
        <v>691366.66666666663</v>
      </c>
      <c r="N12" s="16">
        <v>738300</v>
      </c>
      <c r="O12" s="16">
        <v>785233.33333333337</v>
      </c>
      <c r="P12" s="16">
        <v>832166.66666666663</v>
      </c>
      <c r="Q12" s="16">
        <v>879100</v>
      </c>
      <c r="R12" s="16">
        <v>926033.33333333337</v>
      </c>
      <c r="S12" s="16">
        <v>972966.66666666663</v>
      </c>
      <c r="T12" s="16">
        <v>1019900</v>
      </c>
      <c r="U12" s="16">
        <v>1066833.3333333333</v>
      </c>
      <c r="V12" s="1"/>
      <c r="W12" s="2"/>
      <c r="X12" s="1"/>
      <c r="Y12" s="96" t="s">
        <v>17</v>
      </c>
      <c r="Z12" s="7">
        <f>F21</f>
        <v>1360986.6666666667</v>
      </c>
      <c r="AA12" s="68" t="s">
        <v>18</v>
      </c>
      <c r="AB12" s="1"/>
      <c r="AC12" s="2"/>
      <c r="AD12" s="1"/>
      <c r="AF12" s="82" t="s">
        <v>50</v>
      </c>
      <c r="AG12" s="83"/>
      <c r="AH12" s="82" t="s">
        <v>51</v>
      </c>
      <c r="AI12" s="83"/>
      <c r="AK12" s="1"/>
    </row>
    <row r="13" spans="2:37" ht="12.6" thickBot="1" x14ac:dyDescent="0.45">
      <c r="C13" s="25"/>
      <c r="E13" s="6" t="s">
        <v>29</v>
      </c>
      <c r="F13" s="7">
        <f>C6*C7*(C12/12)</f>
        <v>434000.00000000006</v>
      </c>
      <c r="H13" s="85"/>
      <c r="I13" s="11">
        <v>7</v>
      </c>
      <c r="J13" s="15">
        <v>699716.66666666674</v>
      </c>
      <c r="K13" s="16">
        <v>723183.33333333349</v>
      </c>
      <c r="L13" s="16">
        <v>746650.00000000012</v>
      </c>
      <c r="M13" s="16">
        <v>770116.66666666674</v>
      </c>
      <c r="N13" s="16">
        <v>817050.00000000012</v>
      </c>
      <c r="O13" s="16">
        <v>863983.33333333349</v>
      </c>
      <c r="P13" s="16">
        <v>910916.66666666674</v>
      </c>
      <c r="Q13" s="16">
        <v>957850.00000000012</v>
      </c>
      <c r="R13" s="16">
        <v>1004783.3333333336</v>
      </c>
      <c r="S13" s="16">
        <v>1051716.6666666667</v>
      </c>
      <c r="T13" s="16">
        <v>1098650</v>
      </c>
      <c r="U13" s="16">
        <v>1145583.3333333335</v>
      </c>
      <c r="V13" s="1"/>
      <c r="W13" s="2"/>
      <c r="X13" s="1"/>
      <c r="Y13" s="96" t="s">
        <v>21</v>
      </c>
      <c r="Z13" s="7">
        <f>F51</f>
        <v>632916.66666666663</v>
      </c>
      <c r="AA13" s="68" t="s">
        <v>86</v>
      </c>
      <c r="AB13" s="1"/>
      <c r="AC13" s="2"/>
      <c r="AD13" s="1"/>
      <c r="AE13" s="46" t="s">
        <v>48</v>
      </c>
      <c r="AF13" s="47" t="s">
        <v>49</v>
      </c>
      <c r="AG13" s="48">
        <f>F28</f>
        <v>1.2657041065066568</v>
      </c>
      <c r="AH13" s="47" t="s">
        <v>49</v>
      </c>
      <c r="AI13" s="49">
        <f>F58</f>
        <v>1.9953810623556585</v>
      </c>
      <c r="AK13" s="1"/>
    </row>
    <row r="14" spans="2:37" ht="12.3" x14ac:dyDescent="0.4">
      <c r="B14" s="6" t="s">
        <v>30</v>
      </c>
      <c r="C14" s="28">
        <v>0.25</v>
      </c>
      <c r="E14" s="6" t="s">
        <v>31</v>
      </c>
      <c r="F14" s="7">
        <f>C6*(C8/12)*50%</f>
        <v>700000</v>
      </c>
      <c r="H14" s="85"/>
      <c r="I14" s="11">
        <v>8</v>
      </c>
      <c r="J14" s="15">
        <v>778466.66666666663</v>
      </c>
      <c r="K14" s="16">
        <v>801933.33333333337</v>
      </c>
      <c r="L14" s="16">
        <v>825400</v>
      </c>
      <c r="M14" s="16">
        <v>848866.66666666663</v>
      </c>
      <c r="N14" s="16">
        <v>895800</v>
      </c>
      <c r="O14" s="16">
        <v>942733.33333333337</v>
      </c>
      <c r="P14" s="16">
        <v>989666.66666666663</v>
      </c>
      <c r="Q14" s="16">
        <v>1036600</v>
      </c>
      <c r="R14" s="16">
        <v>1083533.3333333333</v>
      </c>
      <c r="S14" s="16">
        <v>1130466.6666666667</v>
      </c>
      <c r="T14" s="16">
        <v>1177400</v>
      </c>
      <c r="U14" s="16">
        <v>1224333.3333333333</v>
      </c>
      <c r="V14" s="1"/>
      <c r="W14" s="2"/>
      <c r="X14" s="1"/>
      <c r="Y14" s="97" t="s">
        <v>70</v>
      </c>
      <c r="Z14" s="7">
        <f>Z12-Z13</f>
        <v>728070.00000000012</v>
      </c>
      <c r="AA14" s="68"/>
      <c r="AB14" s="1"/>
      <c r="AC14" s="2"/>
      <c r="AD14" s="1"/>
      <c r="AE14" s="70">
        <f>AF14/12</f>
        <v>0.25</v>
      </c>
      <c r="AF14" s="30">
        <v>3</v>
      </c>
      <c r="AG14" s="31">
        <f t="dataTable" ref="AG14:AG22" dt2D="0" dtr="0" r1="C3" ca="1"/>
        <v>0.24163149586004704</v>
      </c>
      <c r="AH14" s="30">
        <f>AF14</f>
        <v>3</v>
      </c>
      <c r="AI14" s="32">
        <f t="dataTable" ref="AI14:AI22" dt2D="0" dtr="0" r1="C3"/>
        <v>0.48582995951417007</v>
      </c>
      <c r="AJ14" s="76"/>
      <c r="AK14" s="1"/>
    </row>
    <row r="15" spans="2:37" ht="12.3" x14ac:dyDescent="0.4">
      <c r="C15" s="25"/>
      <c r="E15" s="29" t="s">
        <v>69</v>
      </c>
      <c r="F15" s="7">
        <f>F14*(C10-1)</f>
        <v>245000.00000000006</v>
      </c>
      <c r="H15" s="85"/>
      <c r="I15" s="11">
        <v>9</v>
      </c>
      <c r="J15" s="15">
        <v>857216.66666666663</v>
      </c>
      <c r="K15" s="16">
        <v>880683.33333333337</v>
      </c>
      <c r="L15" s="16">
        <v>904150</v>
      </c>
      <c r="M15" s="16">
        <v>927616.66666666663</v>
      </c>
      <c r="N15" s="16">
        <v>974550</v>
      </c>
      <c r="O15" s="16">
        <v>1021483.3333333334</v>
      </c>
      <c r="P15" s="16">
        <v>1068416.6666666667</v>
      </c>
      <c r="Q15" s="16">
        <v>1115350</v>
      </c>
      <c r="R15" s="16">
        <v>1162283.3333333333</v>
      </c>
      <c r="S15" s="16">
        <v>1209216.6666666667</v>
      </c>
      <c r="T15" s="16">
        <v>1256150</v>
      </c>
      <c r="U15" s="16">
        <v>1303083.3333333333</v>
      </c>
      <c r="V15" s="1"/>
      <c r="W15" s="2"/>
      <c r="X15" s="1"/>
      <c r="Y15" s="97"/>
      <c r="Z15" s="1"/>
      <c r="AA15" s="1"/>
      <c r="AB15" s="1"/>
      <c r="AC15" s="2"/>
      <c r="AD15" s="1"/>
      <c r="AE15" s="71">
        <f>AF15/12</f>
        <v>0.5</v>
      </c>
      <c r="AF15" s="30">
        <v>6</v>
      </c>
      <c r="AG15" s="31">
        <v>0.45573312268335658</v>
      </c>
      <c r="AH15" s="30">
        <f t="shared" ref="AH15:AH22" si="1">AF15</f>
        <v>6</v>
      </c>
      <c r="AI15" s="32">
        <v>0.86642599277978338</v>
      </c>
      <c r="AJ15" s="76"/>
      <c r="AK15" s="1"/>
    </row>
    <row r="16" spans="2:37" ht="12.3" x14ac:dyDescent="0.4">
      <c r="B16" s="6" t="s">
        <v>32</v>
      </c>
      <c r="C16" s="27">
        <v>420000</v>
      </c>
      <c r="H16" s="85"/>
      <c r="I16" s="11">
        <v>10</v>
      </c>
      <c r="J16" s="15">
        <v>935966.66666666674</v>
      </c>
      <c r="K16" s="16">
        <v>959433.33333333349</v>
      </c>
      <c r="L16" s="16">
        <v>982900.00000000012</v>
      </c>
      <c r="M16" s="16">
        <v>1006366.6666666667</v>
      </c>
      <c r="N16" s="16">
        <v>1053300</v>
      </c>
      <c r="O16" s="16">
        <v>1100233.3333333333</v>
      </c>
      <c r="P16" s="16">
        <v>1147166.6666666667</v>
      </c>
      <c r="Q16" s="16">
        <v>1194100</v>
      </c>
      <c r="R16" s="16">
        <v>1241033.3333333335</v>
      </c>
      <c r="S16" s="16">
        <v>1287966.666666667</v>
      </c>
      <c r="T16" s="16">
        <v>1334900.0000000002</v>
      </c>
      <c r="U16" s="16">
        <v>1381833.3333333335</v>
      </c>
      <c r="V16" s="1"/>
      <c r="W16" s="2"/>
      <c r="X16" s="1"/>
      <c r="Y16" s="97"/>
      <c r="Z16" s="1"/>
      <c r="AA16" s="1"/>
      <c r="AB16" s="1"/>
      <c r="AC16" s="2"/>
      <c r="AD16" s="1"/>
      <c r="AE16" s="71">
        <f t="shared" ref="AE16:AE22" si="2">AF16/12</f>
        <v>1</v>
      </c>
      <c r="AF16" s="30">
        <f t="shared" ref="AF16:AF22" si="3">AF15+6</f>
        <v>12</v>
      </c>
      <c r="AG16" s="31">
        <v>0.81824132664193761</v>
      </c>
      <c r="AH16" s="30">
        <f t="shared" si="1"/>
        <v>12</v>
      </c>
      <c r="AI16" s="32">
        <v>1.42433234421365</v>
      </c>
      <c r="AJ16" s="76"/>
      <c r="AK16" s="1"/>
    </row>
    <row r="17" spans="2:37" ht="12.3" x14ac:dyDescent="0.4">
      <c r="B17" s="6" t="s">
        <v>33</v>
      </c>
      <c r="C17" s="26">
        <v>25</v>
      </c>
      <c r="E17" s="37" t="s">
        <v>34</v>
      </c>
      <c r="F17" s="38"/>
      <c r="H17" s="85"/>
      <c r="I17" s="11">
        <v>11</v>
      </c>
      <c r="J17" s="15">
        <v>1014716.6666666666</v>
      </c>
      <c r="K17" s="16">
        <v>1038183.3333333334</v>
      </c>
      <c r="L17" s="16">
        <v>1061650</v>
      </c>
      <c r="M17" s="16">
        <v>1085116.6666666667</v>
      </c>
      <c r="N17" s="16">
        <v>1132050</v>
      </c>
      <c r="O17" s="16">
        <v>1178983.3333333333</v>
      </c>
      <c r="P17" s="16">
        <v>1225916.6666666667</v>
      </c>
      <c r="Q17" s="16">
        <v>1272850</v>
      </c>
      <c r="R17" s="16">
        <v>1319783.3333333333</v>
      </c>
      <c r="S17" s="16">
        <v>1366716.6666666667</v>
      </c>
      <c r="T17" s="16">
        <v>1413650</v>
      </c>
      <c r="U17" s="16">
        <v>1460583.3333333333</v>
      </c>
      <c r="V17" s="1"/>
      <c r="W17" s="2"/>
      <c r="X17" s="1"/>
      <c r="Y17" s="97"/>
      <c r="Z17" s="1"/>
      <c r="AA17" s="1"/>
      <c r="AB17" s="1"/>
      <c r="AC17" s="2"/>
      <c r="AD17" s="1"/>
      <c r="AE17" s="71">
        <f t="shared" si="2"/>
        <v>1.5</v>
      </c>
      <c r="AF17" s="30">
        <f t="shared" si="3"/>
        <v>18</v>
      </c>
      <c r="AG17" s="31">
        <v>1.1134755282822784</v>
      </c>
      <c r="AH17" s="30">
        <f t="shared" si="1"/>
        <v>18</v>
      </c>
      <c r="AI17" s="32">
        <v>1.8136020151133503</v>
      </c>
      <c r="AJ17" s="76"/>
      <c r="AK17" s="1"/>
    </row>
    <row r="18" spans="2:37" ht="12.3" x14ac:dyDescent="0.4">
      <c r="C18" s="25"/>
      <c r="E18" s="17" t="s">
        <v>7</v>
      </c>
      <c r="F18" s="18">
        <f>F4</f>
        <v>-180833.33333333334</v>
      </c>
      <c r="H18" s="85"/>
      <c r="I18" s="11">
        <v>12</v>
      </c>
      <c r="J18" s="15">
        <v>1093466.6666666667</v>
      </c>
      <c r="K18" s="16">
        <v>1116933.3333333333</v>
      </c>
      <c r="L18" s="16">
        <v>1140400</v>
      </c>
      <c r="M18" s="16">
        <v>1163866.6666666667</v>
      </c>
      <c r="N18" s="16">
        <v>1210800</v>
      </c>
      <c r="O18" s="16">
        <v>1257733.3333333333</v>
      </c>
      <c r="P18" s="16">
        <v>1304666.6666666667</v>
      </c>
      <c r="Q18" s="16">
        <v>1351600</v>
      </c>
      <c r="R18" s="16">
        <v>1398533.3333333333</v>
      </c>
      <c r="S18" s="16">
        <v>1445466.6666666667</v>
      </c>
      <c r="T18" s="16">
        <v>1492400</v>
      </c>
      <c r="U18" s="16">
        <v>1539333.3333333333</v>
      </c>
      <c r="V18" s="1"/>
      <c r="W18" s="2"/>
      <c r="X18" s="1"/>
      <c r="Y18" s="96"/>
      <c r="Z18" s="1"/>
      <c r="AA18" s="1"/>
      <c r="AB18" s="1"/>
      <c r="AC18" s="2"/>
      <c r="AD18" s="1"/>
      <c r="AE18" s="71">
        <f t="shared" si="2"/>
        <v>2</v>
      </c>
      <c r="AF18" s="30">
        <f t="shared" si="3"/>
        <v>24</v>
      </c>
      <c r="AG18" s="31">
        <v>1.3585725930622226</v>
      </c>
      <c r="AH18" s="30">
        <f t="shared" si="1"/>
        <v>24</v>
      </c>
      <c r="AI18" s="32">
        <v>2.1006564551422322</v>
      </c>
      <c r="AJ18" s="76"/>
      <c r="AK18" s="1"/>
    </row>
    <row r="19" spans="2:37" ht="12.3" x14ac:dyDescent="0.4">
      <c r="B19" s="6" t="s">
        <v>35</v>
      </c>
      <c r="C19" s="27">
        <v>85000</v>
      </c>
      <c r="E19" s="17" t="s">
        <v>36</v>
      </c>
      <c r="F19" s="18">
        <f>SUM(F7:F10)</f>
        <v>162820</v>
      </c>
      <c r="H19" s="85"/>
      <c r="I19" s="11">
        <v>13</v>
      </c>
      <c r="J19" s="15">
        <v>1172216.6666666667</v>
      </c>
      <c r="K19" s="16">
        <v>1195683.3333333333</v>
      </c>
      <c r="L19" s="16">
        <v>1219150</v>
      </c>
      <c r="M19" s="16">
        <v>1242616.6666666667</v>
      </c>
      <c r="N19" s="16">
        <v>1289550</v>
      </c>
      <c r="O19" s="16">
        <v>1336483.3333333333</v>
      </c>
      <c r="P19" s="16">
        <v>1383416.6666666667</v>
      </c>
      <c r="Q19" s="16">
        <v>1430350</v>
      </c>
      <c r="R19" s="16">
        <v>1477283.3333333333</v>
      </c>
      <c r="S19" s="16">
        <v>1524216.6666666667</v>
      </c>
      <c r="T19" s="16">
        <v>1571150</v>
      </c>
      <c r="U19" s="16">
        <v>1618083.3333333333</v>
      </c>
      <c r="V19" s="1"/>
      <c r="W19" s="2"/>
      <c r="X19" s="1"/>
      <c r="Y19" s="96"/>
      <c r="Z19" s="1"/>
      <c r="AA19" s="1"/>
      <c r="AB19" s="1"/>
      <c r="AC19" s="2"/>
      <c r="AD19" s="1"/>
      <c r="AE19" s="71">
        <f t="shared" si="2"/>
        <v>2.5</v>
      </c>
      <c r="AF19" s="30">
        <f t="shared" si="3"/>
        <v>30</v>
      </c>
      <c r="AG19" s="31">
        <v>1.5653045039028257</v>
      </c>
      <c r="AH19" s="30">
        <f t="shared" si="1"/>
        <v>30</v>
      </c>
      <c r="AI19" s="32">
        <v>2.3210831721470022</v>
      </c>
      <c r="AJ19" s="76"/>
      <c r="AK19" s="1"/>
    </row>
    <row r="20" spans="2:37" ht="12.3" x14ac:dyDescent="0.4">
      <c r="B20" s="6" t="s">
        <v>37</v>
      </c>
      <c r="C20" s="26">
        <v>20</v>
      </c>
      <c r="E20" s="17" t="s">
        <v>28</v>
      </c>
      <c r="F20" s="18">
        <f>SUM(F13:F15)</f>
        <v>1379000</v>
      </c>
      <c r="H20" s="85"/>
      <c r="I20" s="11">
        <v>14</v>
      </c>
      <c r="J20" s="15">
        <v>1250966.666666667</v>
      </c>
      <c r="K20" s="16">
        <v>1274433.3333333335</v>
      </c>
      <c r="L20" s="16">
        <v>1297900.0000000002</v>
      </c>
      <c r="M20" s="16">
        <v>1321366.666666667</v>
      </c>
      <c r="N20" s="16">
        <v>1368300.0000000002</v>
      </c>
      <c r="O20" s="16">
        <v>1415233.3333333335</v>
      </c>
      <c r="P20" s="16">
        <v>1462166.666666667</v>
      </c>
      <c r="Q20" s="16">
        <v>1509100.0000000002</v>
      </c>
      <c r="R20" s="16">
        <v>1556033.3333333335</v>
      </c>
      <c r="S20" s="16">
        <v>1602966.666666667</v>
      </c>
      <c r="T20" s="16">
        <v>1649900.0000000002</v>
      </c>
      <c r="U20" s="16">
        <v>1696833.3333333335</v>
      </c>
      <c r="V20" s="1"/>
      <c r="W20" s="2"/>
      <c r="X20" s="1"/>
      <c r="Y20" s="96"/>
      <c r="Z20" s="1"/>
      <c r="AA20" s="1"/>
      <c r="AB20" s="1"/>
      <c r="AC20" s="2"/>
      <c r="AD20" s="1"/>
      <c r="AE20" s="71">
        <f t="shared" si="2"/>
        <v>3</v>
      </c>
      <c r="AF20" s="30">
        <f t="shared" si="3"/>
        <v>36</v>
      </c>
      <c r="AG20" s="31">
        <v>1.7420253948590894</v>
      </c>
      <c r="AH20" s="30">
        <f t="shared" si="1"/>
        <v>36</v>
      </c>
      <c r="AI20" s="32">
        <v>2.4956672443674179</v>
      </c>
      <c r="AJ20" s="76"/>
      <c r="AK20" s="1"/>
    </row>
    <row r="21" spans="2:37" ht="12.3" x14ac:dyDescent="0.4">
      <c r="E21" s="39" t="s">
        <v>38</v>
      </c>
      <c r="F21" s="74">
        <f>SUM(F18:F20)</f>
        <v>1360986.6666666667</v>
      </c>
      <c r="H21" s="85"/>
      <c r="I21" s="11">
        <v>15</v>
      </c>
      <c r="J21" s="15">
        <v>1329716.6666666667</v>
      </c>
      <c r="K21" s="16">
        <v>1353183.3333333333</v>
      </c>
      <c r="L21" s="16">
        <v>1376650</v>
      </c>
      <c r="M21" s="16">
        <v>1400116.6666666667</v>
      </c>
      <c r="N21" s="16">
        <v>1447050</v>
      </c>
      <c r="O21" s="16">
        <v>1493983.3333333333</v>
      </c>
      <c r="P21" s="16">
        <v>1540916.6666666667</v>
      </c>
      <c r="Q21" s="16">
        <v>1587850</v>
      </c>
      <c r="R21" s="16">
        <v>1634783.3333333333</v>
      </c>
      <c r="S21" s="16">
        <v>1681716.6666666667</v>
      </c>
      <c r="T21" s="16">
        <v>1728650</v>
      </c>
      <c r="U21" s="16">
        <v>1775583.3333333333</v>
      </c>
      <c r="V21" s="1"/>
      <c r="W21" s="2"/>
      <c r="X21" s="1"/>
      <c r="Y21" s="96"/>
      <c r="Z21" s="1"/>
      <c r="AA21" s="1"/>
      <c r="AB21" s="1"/>
      <c r="AC21" s="2"/>
      <c r="AD21" s="1"/>
      <c r="AE21" s="71">
        <f t="shared" si="2"/>
        <v>3.5</v>
      </c>
      <c r="AF21" s="30">
        <f t="shared" si="3"/>
        <v>42</v>
      </c>
      <c r="AG21" s="31">
        <v>1.894828021799545</v>
      </c>
      <c r="AH21" s="30">
        <f t="shared" si="1"/>
        <v>42</v>
      </c>
      <c r="AI21" s="32">
        <v>2.6373626373626378</v>
      </c>
      <c r="AJ21" s="76"/>
      <c r="AK21" s="1"/>
    </row>
    <row r="22" spans="2:37" ht="15.75" customHeight="1" thickBot="1" x14ac:dyDescent="0.45">
      <c r="H22" s="1"/>
      <c r="I22" s="10"/>
      <c r="J22" s="1"/>
      <c r="K22" s="1"/>
      <c r="L22" s="1"/>
      <c r="M22" s="1"/>
      <c r="N22" s="1"/>
      <c r="O22" s="1"/>
      <c r="P22" s="1"/>
      <c r="Q22" s="1"/>
      <c r="R22" s="1"/>
      <c r="S22" s="1"/>
      <c r="T22" s="1"/>
      <c r="U22" s="1"/>
      <c r="V22" s="1"/>
      <c r="W22" s="2"/>
      <c r="X22" s="1"/>
      <c r="Y22" s="96"/>
      <c r="Z22" s="1"/>
      <c r="AA22" s="1"/>
      <c r="AB22" s="1"/>
      <c r="AC22" s="2"/>
      <c r="AD22" s="1"/>
      <c r="AE22" s="72">
        <f t="shared" si="2"/>
        <v>4</v>
      </c>
      <c r="AF22" s="33">
        <f t="shared" si="3"/>
        <v>48</v>
      </c>
      <c r="AG22" s="34">
        <v>2.0282604286390371</v>
      </c>
      <c r="AH22" s="33">
        <f t="shared" si="1"/>
        <v>48</v>
      </c>
      <c r="AI22" s="35">
        <v>2.7546628407460547</v>
      </c>
      <c r="AJ22" s="76"/>
      <c r="AK22" s="1"/>
    </row>
    <row r="23" spans="2:37" ht="15.75" customHeight="1" x14ac:dyDescent="0.4">
      <c r="E23" s="19" t="s">
        <v>39</v>
      </c>
      <c r="F23" s="20">
        <f>C4/12*C3</f>
        <v>630000.00000000012</v>
      </c>
      <c r="H23" s="1"/>
      <c r="I23" s="10"/>
      <c r="J23" s="1"/>
      <c r="K23" s="1"/>
      <c r="L23" s="1"/>
      <c r="M23" s="1"/>
      <c r="N23" s="1"/>
      <c r="O23" s="1"/>
      <c r="P23" s="1"/>
      <c r="Q23" s="1"/>
      <c r="R23" s="1"/>
      <c r="S23" s="1"/>
      <c r="T23" s="1"/>
      <c r="U23" s="1"/>
      <c r="V23" s="1"/>
      <c r="W23" s="2"/>
      <c r="X23" s="1"/>
      <c r="Y23" s="96"/>
      <c r="Z23" s="1"/>
      <c r="AA23" s="1"/>
      <c r="AB23" s="1"/>
      <c r="AC23" s="2"/>
      <c r="AD23" s="1"/>
      <c r="AK23" s="1"/>
    </row>
    <row r="24" spans="2:37" ht="12.3" x14ac:dyDescent="0.4">
      <c r="E24" s="17" t="s">
        <v>40</v>
      </c>
      <c r="F24" s="18">
        <f>F21</f>
        <v>1360986.6666666667</v>
      </c>
      <c r="H24" s="1"/>
      <c r="I24" s="10"/>
      <c r="J24" s="1"/>
      <c r="K24" s="1"/>
      <c r="L24" s="1"/>
      <c r="M24" s="1"/>
      <c r="N24" s="1"/>
      <c r="O24" s="1"/>
      <c r="P24" s="1"/>
      <c r="Q24" s="1"/>
      <c r="R24" s="1"/>
      <c r="S24" s="1"/>
      <c r="T24" s="1"/>
      <c r="U24" s="1"/>
      <c r="V24" s="1"/>
      <c r="W24" s="2"/>
      <c r="X24" s="1"/>
      <c r="Y24" s="96"/>
      <c r="Z24" s="1"/>
      <c r="AA24" s="1"/>
      <c r="AB24" s="1"/>
      <c r="AC24" s="2"/>
      <c r="AD24" s="1"/>
      <c r="AK24" s="1"/>
    </row>
    <row r="25" spans="2:37" ht="12.3" x14ac:dyDescent="0.4">
      <c r="E25" s="21" t="s">
        <v>41</v>
      </c>
      <c r="F25" s="22">
        <f>SUM(F23:F24)</f>
        <v>1990986.666666667</v>
      </c>
      <c r="H25" s="1"/>
      <c r="I25" s="10"/>
      <c r="J25" s="1"/>
      <c r="K25" s="1"/>
      <c r="L25" s="1"/>
      <c r="M25" s="1"/>
      <c r="N25" s="1"/>
      <c r="O25" s="1"/>
      <c r="P25" s="1"/>
      <c r="Q25" s="1"/>
      <c r="R25" s="1"/>
      <c r="S25" s="1"/>
      <c r="T25" s="1"/>
      <c r="U25" s="1"/>
      <c r="V25" s="1"/>
      <c r="W25" s="2"/>
      <c r="X25" s="1"/>
      <c r="Y25" s="96"/>
      <c r="Z25" s="1"/>
      <c r="AA25" s="1"/>
      <c r="AB25" s="1"/>
      <c r="AC25" s="2"/>
      <c r="AD25" s="1"/>
      <c r="AK25" s="1"/>
    </row>
    <row r="26" spans="2:37" ht="12.3" x14ac:dyDescent="0.4">
      <c r="E26" s="17"/>
      <c r="F26" s="23"/>
      <c r="H26" s="1"/>
      <c r="I26" s="10"/>
      <c r="J26" s="1"/>
      <c r="K26" s="1"/>
      <c r="L26" s="1"/>
      <c r="M26" s="1"/>
      <c r="N26" s="1"/>
      <c r="O26" s="1"/>
      <c r="P26" s="1"/>
      <c r="Q26" s="1"/>
      <c r="R26" s="1"/>
      <c r="S26" s="1"/>
      <c r="T26" s="1"/>
      <c r="U26" s="1"/>
      <c r="V26" s="1"/>
      <c r="W26" s="2"/>
      <c r="X26" s="1"/>
      <c r="Y26" s="96"/>
      <c r="Z26" s="1"/>
      <c r="AA26" s="1"/>
      <c r="AB26" s="1"/>
      <c r="AC26" s="2"/>
      <c r="AD26" s="1"/>
      <c r="AK26" s="1"/>
    </row>
    <row r="27" spans="2:37" ht="12.3" x14ac:dyDescent="0.4">
      <c r="E27" s="21" t="s">
        <v>42</v>
      </c>
      <c r="F27" s="22">
        <f>C6/12*C3</f>
        <v>2520000.0000000005</v>
      </c>
      <c r="H27" s="1"/>
      <c r="I27" s="10"/>
      <c r="J27" s="1"/>
      <c r="K27" s="1"/>
      <c r="L27" s="1"/>
      <c r="M27" s="1"/>
      <c r="N27" s="1"/>
      <c r="O27" s="1"/>
      <c r="P27" s="1"/>
      <c r="Q27" s="1"/>
      <c r="R27" s="1"/>
      <c r="S27" s="1"/>
      <c r="T27" s="1"/>
      <c r="U27" s="1"/>
      <c r="V27" s="1"/>
      <c r="W27" s="2"/>
      <c r="X27" s="1"/>
      <c r="Y27" s="96"/>
      <c r="Z27" s="1"/>
      <c r="AA27" s="1"/>
      <c r="AB27" s="1"/>
      <c r="AC27" s="2"/>
      <c r="AD27" s="1"/>
      <c r="AK27" s="1"/>
    </row>
    <row r="28" spans="2:37" ht="12.3" x14ac:dyDescent="0.4">
      <c r="E28" s="40" t="s">
        <v>43</v>
      </c>
      <c r="F28" s="73">
        <f>F27/F25</f>
        <v>1.2657041065066568</v>
      </c>
      <c r="H28" s="1"/>
      <c r="I28" s="10"/>
      <c r="J28" s="1"/>
      <c r="K28" s="1"/>
      <c r="L28" s="1"/>
      <c r="M28" s="1"/>
      <c r="N28" s="1"/>
      <c r="O28" s="1"/>
      <c r="P28" s="1"/>
      <c r="Q28" s="1"/>
      <c r="R28" s="1"/>
      <c r="S28" s="1"/>
      <c r="T28" s="1"/>
      <c r="U28" s="1"/>
      <c r="V28" s="1"/>
      <c r="W28" s="2"/>
      <c r="X28" s="1"/>
      <c r="Y28" s="96"/>
      <c r="Z28" s="1"/>
      <c r="AA28" s="1"/>
      <c r="AB28" s="1"/>
      <c r="AC28" s="2"/>
      <c r="AD28" s="1"/>
      <c r="AK28" s="1"/>
    </row>
    <row r="29" spans="2:37" ht="12.3" x14ac:dyDescent="0.4">
      <c r="C29" s="24"/>
      <c r="J29" s="1"/>
      <c r="K29" s="1"/>
      <c r="L29" s="1"/>
      <c r="M29" s="1"/>
      <c r="N29" s="1"/>
      <c r="O29" s="1"/>
      <c r="P29" s="1"/>
      <c r="Q29" s="1"/>
      <c r="R29" s="1"/>
      <c r="S29" s="1"/>
      <c r="T29" s="1"/>
      <c r="U29" s="1"/>
      <c r="V29" s="1"/>
      <c r="W29" s="2"/>
      <c r="X29" s="1"/>
      <c r="Y29" s="96"/>
      <c r="Z29" s="1"/>
      <c r="AA29" s="1"/>
      <c r="AB29" s="1"/>
      <c r="AC29" s="2"/>
      <c r="AD29" s="1"/>
      <c r="AK29" s="1"/>
    </row>
    <row r="30" spans="2:37" ht="12.3" x14ac:dyDescent="0.4">
      <c r="B30" s="90" t="s">
        <v>44</v>
      </c>
      <c r="C30" s="89"/>
      <c r="D30" s="89"/>
      <c r="E30" s="89"/>
      <c r="F30" s="89"/>
      <c r="G30" s="89"/>
      <c r="H30" s="89"/>
      <c r="I30" s="89"/>
      <c r="J30" s="89"/>
      <c r="K30" s="89"/>
      <c r="L30" s="89"/>
      <c r="M30" s="89"/>
      <c r="N30" s="89"/>
      <c r="O30" s="89"/>
      <c r="P30" s="89"/>
      <c r="Q30" s="89"/>
      <c r="R30" s="89"/>
      <c r="S30" s="89"/>
      <c r="T30" s="89"/>
      <c r="U30" s="89"/>
      <c r="V30" s="1"/>
      <c r="W30" s="2"/>
      <c r="X30" s="1"/>
      <c r="Y30" s="96"/>
      <c r="Z30" s="1"/>
      <c r="AA30" s="1"/>
      <c r="AB30" s="1"/>
      <c r="AC30" s="2"/>
      <c r="AD30" s="1"/>
      <c r="AK30" s="1"/>
    </row>
    <row r="31" spans="2:37" ht="12.3" x14ac:dyDescent="0.4">
      <c r="B31" s="91" t="s">
        <v>83</v>
      </c>
      <c r="C31" s="78"/>
      <c r="E31" s="77" t="s">
        <v>84</v>
      </c>
      <c r="F31" s="78"/>
      <c r="H31" s="86" t="s">
        <v>57</v>
      </c>
      <c r="I31" s="87"/>
      <c r="J31" s="87"/>
      <c r="K31" s="87"/>
      <c r="L31" s="87"/>
      <c r="M31" s="87"/>
      <c r="N31" s="87"/>
      <c r="O31" s="87"/>
      <c r="P31" s="87"/>
      <c r="Q31" s="87"/>
      <c r="R31" s="87"/>
      <c r="S31" s="87"/>
      <c r="T31" s="87"/>
      <c r="U31" s="87"/>
      <c r="W31" s="2"/>
      <c r="Y31" s="96"/>
      <c r="Z31" s="1"/>
      <c r="AA31" s="1"/>
      <c r="AC31" s="2"/>
    </row>
    <row r="32" spans="2:37" ht="12.3" x14ac:dyDescent="0.4">
      <c r="B32" s="6" t="s">
        <v>45</v>
      </c>
      <c r="C32" s="27">
        <v>180000</v>
      </c>
      <c r="E32" s="3" t="s">
        <v>7</v>
      </c>
      <c r="H32" s="36"/>
      <c r="I32" s="36"/>
      <c r="J32" s="79" t="s">
        <v>4</v>
      </c>
      <c r="K32" s="80"/>
      <c r="L32" s="80"/>
      <c r="M32" s="80"/>
      <c r="N32" s="80"/>
      <c r="O32" s="80"/>
      <c r="P32" s="80"/>
      <c r="Q32" s="80"/>
      <c r="R32" s="80"/>
      <c r="S32" s="80"/>
      <c r="T32" s="80"/>
      <c r="U32" s="80"/>
      <c r="V32" s="10"/>
      <c r="W32" s="2"/>
      <c r="X32" s="10"/>
      <c r="Y32" s="96"/>
      <c r="Z32" s="1"/>
      <c r="AA32" s="1"/>
      <c r="AB32" s="10"/>
      <c r="AC32" s="2"/>
      <c r="AD32" s="10"/>
      <c r="AK32" s="10"/>
    </row>
    <row r="33" spans="2:37" ht="13" customHeight="1" x14ac:dyDescent="0.4">
      <c r="B33" s="6" t="s">
        <v>46</v>
      </c>
      <c r="C33" s="27">
        <v>280000</v>
      </c>
      <c r="E33" s="6" t="s">
        <v>10</v>
      </c>
      <c r="F33" s="7">
        <f>-C4*C39/12</f>
        <v>-14583.333333333334</v>
      </c>
      <c r="H33" s="36"/>
      <c r="I33" s="8">
        <f>F51</f>
        <v>632916.66666666663</v>
      </c>
      <c r="J33" s="9">
        <v>0.5</v>
      </c>
      <c r="K33" s="9">
        <f t="shared" ref="K33:M33" si="4">J33+0.5</f>
        <v>1</v>
      </c>
      <c r="L33" s="9">
        <f t="shared" si="4"/>
        <v>1.5</v>
      </c>
      <c r="M33" s="9">
        <f t="shared" si="4"/>
        <v>2</v>
      </c>
      <c r="N33" s="9">
        <f t="shared" ref="N33:U33" si="5">M33+1</f>
        <v>3</v>
      </c>
      <c r="O33" s="9">
        <f t="shared" si="5"/>
        <v>4</v>
      </c>
      <c r="P33" s="9">
        <f t="shared" si="5"/>
        <v>5</v>
      </c>
      <c r="Q33" s="9">
        <f t="shared" si="5"/>
        <v>6</v>
      </c>
      <c r="R33" s="9">
        <f t="shared" si="5"/>
        <v>7</v>
      </c>
      <c r="S33" s="9">
        <f t="shared" si="5"/>
        <v>8</v>
      </c>
      <c r="T33" s="9">
        <f t="shared" si="5"/>
        <v>9</v>
      </c>
      <c r="U33" s="9">
        <f t="shared" si="5"/>
        <v>10</v>
      </c>
      <c r="V33" s="1"/>
      <c r="W33" s="2"/>
      <c r="X33" s="1"/>
      <c r="Y33" s="96"/>
      <c r="Z33" s="1"/>
      <c r="AA33" s="1"/>
      <c r="AB33" s="1"/>
      <c r="AC33" s="2"/>
      <c r="AD33" s="1"/>
      <c r="AK33" s="1"/>
    </row>
    <row r="34" spans="2:37" ht="12.3" x14ac:dyDescent="0.4">
      <c r="B34" s="6" t="s">
        <v>15</v>
      </c>
      <c r="C34" s="27">
        <v>800000</v>
      </c>
      <c r="H34" s="85" t="s">
        <v>11</v>
      </c>
      <c r="I34" s="11">
        <v>0.5</v>
      </c>
      <c r="J34" s="12">
        <f t="dataTable" ref="J34:U50" dt2D="1" dtr="1" r1="C39" r2="C35"/>
        <v>567916.66666666663</v>
      </c>
      <c r="K34" s="13">
        <v>614166.66666666663</v>
      </c>
      <c r="L34" s="13">
        <v>660416.66666666663</v>
      </c>
      <c r="M34" s="13">
        <v>706666.66666666663</v>
      </c>
      <c r="N34" s="13">
        <v>799166.66666666674</v>
      </c>
      <c r="O34" s="13">
        <v>891666.66666666651</v>
      </c>
      <c r="P34" s="13">
        <v>984166.66666666663</v>
      </c>
      <c r="Q34" s="13">
        <v>1076666.6666666665</v>
      </c>
      <c r="R34" s="13">
        <v>1169166.666666667</v>
      </c>
      <c r="S34" s="13">
        <v>1261666.6666666665</v>
      </c>
      <c r="T34" s="13">
        <v>1354166.6666666667</v>
      </c>
      <c r="U34" s="13">
        <v>1446666.6666666667</v>
      </c>
      <c r="V34" s="1"/>
      <c r="W34" s="2"/>
      <c r="X34" s="1"/>
      <c r="Y34" s="96"/>
      <c r="Z34" s="1"/>
      <c r="AA34" s="1"/>
      <c r="AB34" s="1"/>
      <c r="AC34" s="2"/>
      <c r="AD34" s="1"/>
      <c r="AK34" s="1"/>
    </row>
    <row r="35" spans="2:37" ht="12.3" x14ac:dyDescent="0.4">
      <c r="B35" s="6" t="s">
        <v>22</v>
      </c>
      <c r="C35" s="26">
        <v>2</v>
      </c>
      <c r="E35" s="3" t="s">
        <v>16</v>
      </c>
      <c r="H35" s="85"/>
      <c r="I35" s="11">
        <f>I34+0.5</f>
        <v>1</v>
      </c>
      <c r="J35" s="15">
        <v>589583.33333333326</v>
      </c>
      <c r="K35" s="16">
        <v>635833.33333333337</v>
      </c>
      <c r="L35" s="16">
        <v>682083.33333333326</v>
      </c>
      <c r="M35" s="16">
        <v>728333.33333333326</v>
      </c>
      <c r="N35" s="16">
        <v>820833.33333333326</v>
      </c>
      <c r="O35" s="16">
        <v>913333.33333333326</v>
      </c>
      <c r="P35" s="16">
        <v>1005833.3333333334</v>
      </c>
      <c r="Q35" s="16">
        <v>1098333.3333333335</v>
      </c>
      <c r="R35" s="16">
        <v>1190833.3333333335</v>
      </c>
      <c r="S35" s="16">
        <v>1283333.333333333</v>
      </c>
      <c r="T35" s="16">
        <v>1375833.3333333333</v>
      </c>
      <c r="U35" s="16">
        <v>1468333.3333333333</v>
      </c>
      <c r="V35" s="1"/>
      <c r="W35" s="2"/>
      <c r="X35" s="1"/>
      <c r="Y35" s="96"/>
      <c r="Z35" s="1"/>
      <c r="AA35" s="1"/>
      <c r="AB35" s="1"/>
      <c r="AC35" s="2"/>
      <c r="AD35" s="1"/>
      <c r="AK35" s="1"/>
    </row>
    <row r="36" spans="2:37" ht="12.3" x14ac:dyDescent="0.4">
      <c r="E36" s="6" t="s">
        <v>20</v>
      </c>
      <c r="F36" s="7">
        <f>C41*C33</f>
        <v>0</v>
      </c>
      <c r="H36" s="85"/>
      <c r="I36" s="11">
        <v>1.5</v>
      </c>
      <c r="J36" s="15">
        <v>611250</v>
      </c>
      <c r="K36" s="16">
        <v>657500</v>
      </c>
      <c r="L36" s="16">
        <v>703750</v>
      </c>
      <c r="M36" s="16">
        <v>749999.99999999988</v>
      </c>
      <c r="N36" s="16">
        <v>842500</v>
      </c>
      <c r="O36" s="16">
        <v>934999.99999999977</v>
      </c>
      <c r="P36" s="16">
        <v>1027500.0000000001</v>
      </c>
      <c r="Q36" s="16">
        <v>1120000</v>
      </c>
      <c r="R36" s="16">
        <v>1212500</v>
      </c>
      <c r="S36" s="16">
        <v>1305000</v>
      </c>
      <c r="T36" s="16">
        <v>1397500</v>
      </c>
      <c r="U36" s="16">
        <v>1490000</v>
      </c>
      <c r="V36" s="1"/>
      <c r="W36" s="2"/>
      <c r="X36" s="1"/>
      <c r="Y36" s="96"/>
      <c r="Z36" s="1"/>
      <c r="AA36" s="1"/>
      <c r="AB36" s="1"/>
      <c r="AC36" s="2"/>
      <c r="AD36" s="1"/>
      <c r="AK36" s="1"/>
    </row>
    <row r="37" spans="2:37" ht="12.3" x14ac:dyDescent="0.4">
      <c r="B37" s="6" t="s">
        <v>25</v>
      </c>
      <c r="C37" s="28">
        <v>1.3</v>
      </c>
      <c r="E37" s="6" t="s">
        <v>23</v>
      </c>
      <c r="F37" s="7">
        <f>C33-C5</f>
        <v>-100000</v>
      </c>
      <c r="H37" s="85"/>
      <c r="I37" s="11">
        <f>I36+0.5</f>
        <v>2</v>
      </c>
      <c r="J37" s="15">
        <v>632916.66666666663</v>
      </c>
      <c r="K37" s="16">
        <v>679166.66666666663</v>
      </c>
      <c r="L37" s="16">
        <v>725416.66666666663</v>
      </c>
      <c r="M37" s="16">
        <v>771666.66666666663</v>
      </c>
      <c r="N37" s="16">
        <v>864166.66666666663</v>
      </c>
      <c r="O37" s="16">
        <v>956666.66666666651</v>
      </c>
      <c r="P37" s="16">
        <v>1049166.6666666667</v>
      </c>
      <c r="Q37" s="16">
        <v>1141666.6666666665</v>
      </c>
      <c r="R37" s="16">
        <v>1234166.666666667</v>
      </c>
      <c r="S37" s="16">
        <v>1326666.6666666665</v>
      </c>
      <c r="T37" s="16">
        <v>1419166.6666666667</v>
      </c>
      <c r="U37" s="16">
        <v>1511666.6666666667</v>
      </c>
      <c r="V37" s="1"/>
      <c r="W37" s="2"/>
      <c r="X37" s="1"/>
      <c r="Y37" s="96"/>
      <c r="Z37" s="1"/>
      <c r="AA37" s="1"/>
      <c r="AB37" s="1"/>
      <c r="AC37" s="2"/>
      <c r="AD37" s="1"/>
      <c r="AK37" s="1"/>
    </row>
    <row r="38" spans="2:37" ht="12.3" x14ac:dyDescent="0.4">
      <c r="E38" s="6" t="s">
        <v>24</v>
      </c>
      <c r="F38" s="7">
        <f>C46*(C47/2000)*C39</f>
        <v>0</v>
      </c>
      <c r="H38" s="85"/>
      <c r="I38" s="11">
        <v>3</v>
      </c>
      <c r="J38" s="15">
        <v>676249.99999999988</v>
      </c>
      <c r="K38" s="16">
        <v>722500</v>
      </c>
      <c r="L38" s="16">
        <v>768750</v>
      </c>
      <c r="M38" s="16">
        <v>814999.99999999988</v>
      </c>
      <c r="N38" s="16">
        <v>907500</v>
      </c>
      <c r="O38" s="16">
        <v>999999.99999999977</v>
      </c>
      <c r="P38" s="16">
        <v>1092500.0000000002</v>
      </c>
      <c r="Q38" s="16">
        <v>1185000</v>
      </c>
      <c r="R38" s="16">
        <v>1277500</v>
      </c>
      <c r="S38" s="16">
        <v>1370000</v>
      </c>
      <c r="T38" s="16">
        <v>1462500</v>
      </c>
      <c r="U38" s="16">
        <v>1555000</v>
      </c>
      <c r="V38" s="1"/>
      <c r="W38" s="2"/>
      <c r="X38" s="1"/>
      <c r="Y38" s="96"/>
      <c r="Z38" s="1"/>
      <c r="AA38" s="1"/>
      <c r="AB38" s="1"/>
      <c r="AC38" s="2"/>
      <c r="AD38" s="1"/>
      <c r="AK38" s="1"/>
    </row>
    <row r="39" spans="2:37" ht="12.3" x14ac:dyDescent="0.4">
      <c r="B39" s="6" t="s">
        <v>27</v>
      </c>
      <c r="C39" s="26">
        <v>0.5</v>
      </c>
      <c r="E39" s="6" t="s">
        <v>26</v>
      </c>
      <c r="F39" s="7">
        <f>C43*(C44/2000)*C39</f>
        <v>2500</v>
      </c>
      <c r="H39" s="85"/>
      <c r="I39" s="11">
        <v>4</v>
      </c>
      <c r="J39" s="15">
        <v>719583.33333333326</v>
      </c>
      <c r="K39" s="16">
        <v>765833.33333333337</v>
      </c>
      <c r="L39" s="16">
        <v>812083.33333333326</v>
      </c>
      <c r="M39" s="16">
        <v>858333.33333333326</v>
      </c>
      <c r="N39" s="16">
        <v>950833.33333333326</v>
      </c>
      <c r="O39" s="16">
        <v>1043333.3333333333</v>
      </c>
      <c r="P39" s="16">
        <v>1135833.3333333335</v>
      </c>
      <c r="Q39" s="16">
        <v>1228333.3333333333</v>
      </c>
      <c r="R39" s="16">
        <v>1320833.3333333335</v>
      </c>
      <c r="S39" s="16">
        <v>1413333.333333333</v>
      </c>
      <c r="T39" s="16">
        <v>1505833.3333333333</v>
      </c>
      <c r="U39" s="16">
        <v>1598333.3333333333</v>
      </c>
      <c r="V39" s="1"/>
      <c r="W39" s="2"/>
      <c r="X39" s="1"/>
      <c r="Y39" s="96"/>
      <c r="Z39" s="1"/>
      <c r="AA39" s="1"/>
      <c r="AB39" s="1"/>
      <c r="AC39" s="2"/>
      <c r="AD39" s="1"/>
      <c r="AK39" s="1"/>
    </row>
    <row r="40" spans="2:37" ht="12.3" x14ac:dyDescent="0.4">
      <c r="H40" s="85"/>
      <c r="I40" s="11">
        <v>5</v>
      </c>
      <c r="J40" s="15">
        <v>762916.66666666663</v>
      </c>
      <c r="K40" s="16">
        <v>809166.66666666674</v>
      </c>
      <c r="L40" s="16">
        <v>855416.66666666674</v>
      </c>
      <c r="M40" s="16">
        <v>901666.66666666663</v>
      </c>
      <c r="N40" s="16">
        <v>994166.66666666674</v>
      </c>
      <c r="O40" s="16">
        <v>1086666.6666666665</v>
      </c>
      <c r="P40" s="16">
        <v>1179166.6666666667</v>
      </c>
      <c r="Q40" s="16">
        <v>1271666.6666666667</v>
      </c>
      <c r="R40" s="16">
        <v>1364166.666666667</v>
      </c>
      <c r="S40" s="16">
        <v>1456666.6666666665</v>
      </c>
      <c r="T40" s="16">
        <v>1549166.6666666667</v>
      </c>
      <c r="U40" s="16">
        <v>1641666.6666666667</v>
      </c>
      <c r="V40" s="1"/>
      <c r="W40" s="2"/>
      <c r="X40" s="1"/>
      <c r="Y40" s="96"/>
      <c r="Z40" s="1"/>
      <c r="AA40" s="1"/>
      <c r="AB40" s="1"/>
      <c r="AC40" s="2"/>
      <c r="AD40" s="1"/>
      <c r="AK40" s="1"/>
    </row>
    <row r="41" spans="2:37" ht="12.3" x14ac:dyDescent="0.4">
      <c r="B41" s="6" t="s">
        <v>30</v>
      </c>
      <c r="C41" s="28">
        <v>0</v>
      </c>
      <c r="E41" s="3" t="s">
        <v>28</v>
      </c>
      <c r="H41" s="85"/>
      <c r="I41" s="11">
        <v>6</v>
      </c>
      <c r="J41" s="15">
        <v>806249.99999999988</v>
      </c>
      <c r="K41" s="16">
        <v>852500</v>
      </c>
      <c r="L41" s="16">
        <v>898750</v>
      </c>
      <c r="M41" s="16">
        <v>944999.99999999988</v>
      </c>
      <c r="N41" s="16">
        <v>1037500</v>
      </c>
      <c r="O41" s="16">
        <v>1129999.9999999998</v>
      </c>
      <c r="P41" s="16">
        <v>1222500.0000000002</v>
      </c>
      <c r="Q41" s="16">
        <v>1315000</v>
      </c>
      <c r="R41" s="16">
        <v>1407500</v>
      </c>
      <c r="S41" s="16">
        <v>1500000</v>
      </c>
      <c r="T41" s="16">
        <v>1592500</v>
      </c>
      <c r="U41" s="16">
        <v>1685000</v>
      </c>
      <c r="V41" s="1"/>
      <c r="W41" s="2"/>
      <c r="X41" s="1"/>
      <c r="Y41" s="96"/>
      <c r="Z41" s="1"/>
      <c r="AA41" s="1"/>
      <c r="AB41" s="1"/>
      <c r="AC41" s="2"/>
      <c r="AD41" s="1"/>
      <c r="AK41" s="1"/>
    </row>
    <row r="42" spans="2:37" ht="12.3" x14ac:dyDescent="0.4">
      <c r="E42" s="6" t="s">
        <v>29</v>
      </c>
      <c r="F42" s="7">
        <f>C6*(C39/12)</f>
        <v>58333.333333333328</v>
      </c>
      <c r="H42" s="85"/>
      <c r="I42" s="11">
        <v>7</v>
      </c>
      <c r="J42" s="15">
        <v>849583.33333333337</v>
      </c>
      <c r="K42" s="16">
        <v>895833.33333333337</v>
      </c>
      <c r="L42" s="16">
        <v>942083.33333333349</v>
      </c>
      <c r="M42" s="16">
        <v>988333.33333333314</v>
      </c>
      <c r="N42" s="16">
        <v>1080833.3333333335</v>
      </c>
      <c r="O42" s="16">
        <v>1173333.3333333333</v>
      </c>
      <c r="P42" s="16">
        <v>1265833.3333333335</v>
      </c>
      <c r="Q42" s="16">
        <v>1358333.3333333335</v>
      </c>
      <c r="R42" s="16">
        <v>1450833.3333333335</v>
      </c>
      <c r="S42" s="16">
        <v>1543333.333333333</v>
      </c>
      <c r="T42" s="16">
        <v>1635833.3333333333</v>
      </c>
      <c r="U42" s="16">
        <v>1728333.3333333333</v>
      </c>
      <c r="V42" s="1"/>
      <c r="W42" s="2"/>
      <c r="X42" s="1"/>
      <c r="Y42" s="96"/>
      <c r="Z42" s="1"/>
      <c r="AA42" s="1"/>
      <c r="AB42" s="1"/>
      <c r="AC42" s="2"/>
      <c r="AD42" s="1"/>
      <c r="AK42" s="1"/>
    </row>
    <row r="43" spans="2:37" ht="12.3" x14ac:dyDescent="0.4">
      <c r="B43" s="6" t="s">
        <v>32</v>
      </c>
      <c r="C43" s="27">
        <v>400000</v>
      </c>
      <c r="E43" s="6" t="s">
        <v>31</v>
      </c>
      <c r="F43" s="7">
        <f>C34*(C35/12)*50%</f>
        <v>66666.666666666657</v>
      </c>
      <c r="H43" s="85"/>
      <c r="I43" s="11">
        <v>8</v>
      </c>
      <c r="J43" s="15">
        <v>892916.66666666663</v>
      </c>
      <c r="K43" s="16">
        <v>939166.66666666663</v>
      </c>
      <c r="L43" s="16">
        <v>985416.66666666651</v>
      </c>
      <c r="M43" s="16">
        <v>1031666.6666666666</v>
      </c>
      <c r="N43" s="16">
        <v>1124166.6666666665</v>
      </c>
      <c r="O43" s="16">
        <v>1216666.6666666665</v>
      </c>
      <c r="P43" s="16">
        <v>1309166.6666666667</v>
      </c>
      <c r="Q43" s="16">
        <v>1401666.6666666665</v>
      </c>
      <c r="R43" s="16">
        <v>1494166.666666667</v>
      </c>
      <c r="S43" s="16">
        <v>1586666.6666666665</v>
      </c>
      <c r="T43" s="16">
        <v>1679166.6666666665</v>
      </c>
      <c r="U43" s="16">
        <v>1771666.6666666667</v>
      </c>
      <c r="V43" s="1"/>
      <c r="W43" s="2"/>
      <c r="X43" s="1"/>
      <c r="Y43" s="96"/>
      <c r="Z43" s="1"/>
      <c r="AA43" s="1"/>
      <c r="AB43" s="1"/>
      <c r="AC43" s="2"/>
      <c r="AD43" s="1"/>
      <c r="AK43" s="1"/>
    </row>
    <row r="44" spans="2:37" ht="12.3" x14ac:dyDescent="0.4">
      <c r="B44" s="6" t="s">
        <v>33</v>
      </c>
      <c r="C44" s="26">
        <v>25</v>
      </c>
      <c r="E44" s="6" t="s">
        <v>47</v>
      </c>
      <c r="F44" s="7">
        <f>C6-C34</f>
        <v>600000</v>
      </c>
      <c r="H44" s="85"/>
      <c r="I44" s="11">
        <v>9</v>
      </c>
      <c r="J44" s="15">
        <v>936249.99999999988</v>
      </c>
      <c r="K44" s="16">
        <v>982500.00000000012</v>
      </c>
      <c r="L44" s="16">
        <v>1028750</v>
      </c>
      <c r="M44" s="16">
        <v>1075000</v>
      </c>
      <c r="N44" s="16">
        <v>1167500</v>
      </c>
      <c r="O44" s="16">
        <v>1259999.9999999998</v>
      </c>
      <c r="P44" s="16">
        <v>1352500.0000000002</v>
      </c>
      <c r="Q44" s="16">
        <v>1445000</v>
      </c>
      <c r="R44" s="16">
        <v>1537500</v>
      </c>
      <c r="S44" s="16">
        <v>1630000</v>
      </c>
      <c r="T44" s="16">
        <v>1722500</v>
      </c>
      <c r="U44" s="16">
        <v>1815000.0000000002</v>
      </c>
      <c r="V44" s="1"/>
      <c r="W44" s="2"/>
      <c r="X44" s="1"/>
      <c r="Y44" s="96"/>
      <c r="Z44" s="1"/>
      <c r="AA44" s="1"/>
      <c r="AB44" s="1"/>
      <c r="AC44" s="2"/>
      <c r="AD44" s="1"/>
      <c r="AE44" s="25"/>
      <c r="AK44" s="1"/>
    </row>
    <row r="45" spans="2:37" ht="12.3" x14ac:dyDescent="0.4">
      <c r="E45" s="29" t="s">
        <v>69</v>
      </c>
      <c r="F45" s="7">
        <f>F43*(C37-1)</f>
        <v>20000</v>
      </c>
      <c r="H45" s="85"/>
      <c r="I45" s="11">
        <v>10</v>
      </c>
      <c r="J45" s="15">
        <v>979583.33333333337</v>
      </c>
      <c r="K45" s="16">
        <v>1025833.3333333334</v>
      </c>
      <c r="L45" s="16">
        <v>1072083.3333333335</v>
      </c>
      <c r="M45" s="16">
        <v>1118333.3333333335</v>
      </c>
      <c r="N45" s="16">
        <v>1210833.3333333335</v>
      </c>
      <c r="O45" s="16">
        <v>1303333.3333333333</v>
      </c>
      <c r="P45" s="16">
        <v>1395833.3333333335</v>
      </c>
      <c r="Q45" s="16">
        <v>1488333.3333333335</v>
      </c>
      <c r="R45" s="16">
        <v>1580833.3333333335</v>
      </c>
      <c r="S45" s="16">
        <v>1673333.333333333</v>
      </c>
      <c r="T45" s="16">
        <v>1765833.3333333335</v>
      </c>
      <c r="U45" s="16">
        <v>1858333.3333333333</v>
      </c>
      <c r="V45" s="1"/>
      <c r="W45" s="2"/>
      <c r="X45" s="1"/>
      <c r="Y45" s="96"/>
      <c r="Z45" s="1"/>
      <c r="AA45" s="1"/>
      <c r="AB45" s="1"/>
      <c r="AC45" s="2"/>
      <c r="AD45" s="1"/>
      <c r="AK45" s="1"/>
    </row>
    <row r="46" spans="2:37" ht="12.3" x14ac:dyDescent="0.4">
      <c r="B46" s="6" t="s">
        <v>35</v>
      </c>
      <c r="C46" s="27">
        <v>85000</v>
      </c>
      <c r="H46" s="85"/>
      <c r="I46" s="11">
        <v>11</v>
      </c>
      <c r="J46" s="15">
        <v>1022916.6666666666</v>
      </c>
      <c r="K46" s="16">
        <v>1069166.6666666665</v>
      </c>
      <c r="L46" s="16">
        <v>1115416.6666666665</v>
      </c>
      <c r="M46" s="16">
        <v>1161666.6666666667</v>
      </c>
      <c r="N46" s="16">
        <v>1254166.6666666665</v>
      </c>
      <c r="O46" s="16">
        <v>1346666.6666666665</v>
      </c>
      <c r="P46" s="16">
        <v>1439166.6666666667</v>
      </c>
      <c r="Q46" s="16">
        <v>1531666.6666666665</v>
      </c>
      <c r="R46" s="16">
        <v>1624166.666666667</v>
      </c>
      <c r="S46" s="16">
        <v>1716666.6666666665</v>
      </c>
      <c r="T46" s="16">
        <v>1809166.6666666665</v>
      </c>
      <c r="U46" s="16">
        <v>1901666.6666666667</v>
      </c>
      <c r="V46" s="1"/>
      <c r="W46" s="2"/>
      <c r="X46" s="1"/>
      <c r="Y46" s="96"/>
      <c r="Z46" s="1"/>
      <c r="AA46" s="1"/>
      <c r="AB46" s="1"/>
      <c r="AC46" s="2"/>
      <c r="AD46" s="1"/>
      <c r="AK46" s="1"/>
    </row>
    <row r="47" spans="2:37" ht="12.3" x14ac:dyDescent="0.4">
      <c r="B47" s="6" t="s">
        <v>37</v>
      </c>
      <c r="C47" s="26">
        <v>0</v>
      </c>
      <c r="E47" s="43" t="s">
        <v>34</v>
      </c>
      <c r="F47" s="44"/>
      <c r="H47" s="85"/>
      <c r="I47" s="11">
        <v>12</v>
      </c>
      <c r="J47" s="15">
        <v>1066250</v>
      </c>
      <c r="K47" s="16">
        <v>1112499.9999999998</v>
      </c>
      <c r="L47" s="16">
        <v>1158750</v>
      </c>
      <c r="M47" s="16">
        <v>1205000</v>
      </c>
      <c r="N47" s="16">
        <v>1297500</v>
      </c>
      <c r="O47" s="16">
        <v>1389999.9999999998</v>
      </c>
      <c r="P47" s="16">
        <v>1482500.0000000002</v>
      </c>
      <c r="Q47" s="16">
        <v>1575000</v>
      </c>
      <c r="R47" s="16">
        <v>1667500</v>
      </c>
      <c r="S47" s="16">
        <v>1760000</v>
      </c>
      <c r="T47" s="16">
        <v>1852500</v>
      </c>
      <c r="U47" s="16">
        <v>1945000.0000000002</v>
      </c>
      <c r="V47" s="1"/>
      <c r="W47" s="2"/>
      <c r="X47" s="1"/>
      <c r="Y47" s="96"/>
      <c r="Z47" s="1"/>
      <c r="AA47" s="1"/>
      <c r="AB47" s="1"/>
      <c r="AC47" s="2"/>
      <c r="AD47" s="1"/>
      <c r="AK47" s="1"/>
    </row>
    <row r="48" spans="2:37" ht="12.3" x14ac:dyDescent="0.4">
      <c r="E48" s="41" t="s">
        <v>7</v>
      </c>
      <c r="F48" s="42">
        <f>F33</f>
        <v>-14583.333333333334</v>
      </c>
      <c r="H48" s="85"/>
      <c r="I48" s="11">
        <v>13</v>
      </c>
      <c r="J48" s="15">
        <v>1109583.3333333333</v>
      </c>
      <c r="K48" s="16">
        <v>1155833.3333333333</v>
      </c>
      <c r="L48" s="16">
        <v>1202083.3333333333</v>
      </c>
      <c r="M48" s="16">
        <v>1248333.3333333333</v>
      </c>
      <c r="N48" s="16">
        <v>1340833.3333333333</v>
      </c>
      <c r="O48" s="16">
        <v>1433333.3333333333</v>
      </c>
      <c r="P48" s="16">
        <v>1525833.3333333335</v>
      </c>
      <c r="Q48" s="16">
        <v>1618333.3333333333</v>
      </c>
      <c r="R48" s="16">
        <v>1710833.3333333335</v>
      </c>
      <c r="S48" s="16">
        <v>1803333.333333333</v>
      </c>
      <c r="T48" s="16">
        <v>1895833.3333333335</v>
      </c>
      <c r="U48" s="16">
        <v>1988333.3333333333</v>
      </c>
      <c r="V48" s="1"/>
      <c r="W48" s="2"/>
      <c r="X48" s="1"/>
      <c r="Y48" s="96"/>
      <c r="Z48" s="1"/>
      <c r="AA48" s="1"/>
      <c r="AB48" s="1"/>
      <c r="AC48" s="2"/>
      <c r="AD48" s="1"/>
      <c r="AK48" s="1"/>
    </row>
    <row r="49" spans="5:37" ht="12.3" x14ac:dyDescent="0.4">
      <c r="E49" s="41" t="s">
        <v>36</v>
      </c>
      <c r="F49" s="42">
        <f>SUM(F36:F39)</f>
        <v>-97500</v>
      </c>
      <c r="H49" s="85"/>
      <c r="I49" s="11">
        <v>14</v>
      </c>
      <c r="J49" s="15">
        <v>1152916.6666666667</v>
      </c>
      <c r="K49" s="16">
        <v>1199166.6666666667</v>
      </c>
      <c r="L49" s="16">
        <v>1245416.6666666667</v>
      </c>
      <c r="M49" s="16">
        <v>1291666.6666666667</v>
      </c>
      <c r="N49" s="16">
        <v>1384166.6666666667</v>
      </c>
      <c r="O49" s="16">
        <v>1476666.6666666665</v>
      </c>
      <c r="P49" s="16">
        <v>1569166.6666666667</v>
      </c>
      <c r="Q49" s="16">
        <v>1661666.6666666667</v>
      </c>
      <c r="R49" s="16">
        <v>1754166.666666667</v>
      </c>
      <c r="S49" s="16">
        <v>1846666.6666666665</v>
      </c>
      <c r="T49" s="16">
        <v>1939166.666666667</v>
      </c>
      <c r="U49" s="16">
        <v>2031666.6666666667</v>
      </c>
      <c r="V49" s="1"/>
      <c r="W49" s="2"/>
      <c r="X49" s="1"/>
      <c r="Y49" s="96"/>
      <c r="Z49" s="1"/>
      <c r="AA49" s="1"/>
      <c r="AB49" s="1"/>
      <c r="AC49" s="2"/>
      <c r="AD49" s="1"/>
      <c r="AK49" s="1"/>
    </row>
    <row r="50" spans="5:37" ht="12.3" x14ac:dyDescent="0.4">
      <c r="E50" s="41" t="s">
        <v>28</v>
      </c>
      <c r="F50" s="42">
        <f>SUM(F42:F45)</f>
        <v>745000</v>
      </c>
      <c r="H50" s="85"/>
      <c r="I50" s="11">
        <v>15</v>
      </c>
      <c r="J50" s="15">
        <v>1196250.0000000002</v>
      </c>
      <c r="K50" s="16">
        <v>1242499.9999999998</v>
      </c>
      <c r="L50" s="16">
        <v>1288750</v>
      </c>
      <c r="M50" s="16">
        <v>1335000</v>
      </c>
      <c r="N50" s="16">
        <v>1427500</v>
      </c>
      <c r="O50" s="16">
        <v>1519999.9999999998</v>
      </c>
      <c r="P50" s="16">
        <v>1612500.0000000002</v>
      </c>
      <c r="Q50" s="16">
        <v>1705000</v>
      </c>
      <c r="R50" s="16">
        <v>1797500</v>
      </c>
      <c r="S50" s="16">
        <v>1890000</v>
      </c>
      <c r="T50" s="16">
        <v>1982500</v>
      </c>
      <c r="U50" s="16">
        <v>2075000.0000000002</v>
      </c>
      <c r="V50" s="1"/>
      <c r="W50" s="2"/>
      <c r="X50" s="1"/>
      <c r="Y50" s="96"/>
      <c r="Z50" s="1"/>
      <c r="AA50" s="1"/>
      <c r="AB50" s="1"/>
      <c r="AC50" s="2"/>
      <c r="AD50" s="1"/>
      <c r="AK50" s="1"/>
    </row>
    <row r="51" spans="5:37" ht="12.3" x14ac:dyDescent="0.4">
      <c r="E51" s="45" t="s">
        <v>38</v>
      </c>
      <c r="F51" s="75">
        <f>SUM(F48:F50)</f>
        <v>632916.66666666663</v>
      </c>
      <c r="I51" s="10"/>
      <c r="J51" s="1"/>
      <c r="K51" s="1"/>
      <c r="L51" s="1"/>
      <c r="M51" s="1"/>
      <c r="N51" s="1"/>
      <c r="O51" s="1"/>
      <c r="P51" s="1"/>
      <c r="Q51" s="1"/>
      <c r="R51" s="1"/>
      <c r="S51" s="1"/>
      <c r="T51" s="1"/>
      <c r="U51" s="1"/>
      <c r="V51" s="1"/>
      <c r="W51" s="2"/>
      <c r="X51" s="1"/>
      <c r="Y51" s="96"/>
      <c r="Z51" s="1"/>
      <c r="AA51" s="1"/>
      <c r="AB51" s="1"/>
      <c r="AC51" s="2"/>
      <c r="AD51" s="1"/>
      <c r="AK51" s="1"/>
    </row>
    <row r="52" spans="5:37" ht="12.3" x14ac:dyDescent="0.4">
      <c r="I52" s="10"/>
      <c r="J52" s="1"/>
      <c r="K52" s="1"/>
      <c r="L52" s="1"/>
      <c r="M52" s="1"/>
      <c r="N52" s="1"/>
      <c r="O52" s="1"/>
      <c r="P52" s="1"/>
      <c r="Q52" s="1"/>
      <c r="R52" s="1"/>
      <c r="S52" s="1"/>
      <c r="T52" s="1"/>
      <c r="U52" s="1"/>
      <c r="V52" s="1"/>
      <c r="W52" s="2"/>
      <c r="X52" s="1"/>
      <c r="Y52" s="96"/>
      <c r="Z52" s="1"/>
      <c r="AA52" s="1"/>
      <c r="AB52" s="1"/>
      <c r="AC52" s="2"/>
      <c r="AD52" s="1"/>
      <c r="AK52" s="1"/>
    </row>
    <row r="53" spans="5:37" ht="12.3" x14ac:dyDescent="0.4">
      <c r="E53" s="19" t="s">
        <v>39</v>
      </c>
      <c r="F53" s="20">
        <f>C4/12*C3</f>
        <v>630000.00000000012</v>
      </c>
      <c r="I53" s="10"/>
      <c r="J53" s="1"/>
      <c r="K53" s="1"/>
      <c r="L53" s="1"/>
      <c r="M53" s="1"/>
      <c r="N53" s="1"/>
      <c r="O53" s="1"/>
      <c r="P53" s="1"/>
      <c r="Q53" s="1"/>
      <c r="R53" s="1"/>
      <c r="S53" s="1"/>
      <c r="T53" s="1"/>
      <c r="U53" s="1"/>
      <c r="V53" s="1"/>
      <c r="W53" s="2"/>
      <c r="X53" s="1"/>
      <c r="Y53" s="96"/>
      <c r="Z53" s="1"/>
      <c r="AA53" s="1"/>
      <c r="AB53" s="1"/>
      <c r="AC53" s="2"/>
      <c r="AD53" s="1"/>
      <c r="AK53" s="1"/>
    </row>
    <row r="54" spans="5:37" ht="12.3" x14ac:dyDescent="0.4">
      <c r="E54" s="17" t="s">
        <v>40</v>
      </c>
      <c r="F54" s="18">
        <f>F51</f>
        <v>632916.66666666663</v>
      </c>
      <c r="I54" s="10"/>
      <c r="J54" s="1"/>
      <c r="K54" s="1"/>
      <c r="L54" s="1"/>
      <c r="M54" s="1"/>
      <c r="N54" s="1"/>
      <c r="O54" s="1"/>
      <c r="P54" s="1"/>
      <c r="Q54" s="1"/>
      <c r="R54" s="1"/>
      <c r="S54" s="1"/>
      <c r="T54" s="1"/>
      <c r="U54" s="1"/>
      <c r="V54" s="1"/>
      <c r="W54" s="2"/>
      <c r="X54" s="1"/>
      <c r="Y54" s="96"/>
      <c r="Z54" s="1"/>
      <c r="AA54" s="1"/>
      <c r="AB54" s="1"/>
      <c r="AC54" s="2"/>
      <c r="AD54" s="1"/>
      <c r="AK54" s="1"/>
    </row>
    <row r="55" spans="5:37" ht="12.3" x14ac:dyDescent="0.4">
      <c r="E55" s="21" t="s">
        <v>41</v>
      </c>
      <c r="F55" s="22">
        <f>SUM(F53:F54)</f>
        <v>1262916.6666666667</v>
      </c>
      <c r="I55" s="10"/>
      <c r="J55" s="1"/>
      <c r="K55" s="1"/>
      <c r="L55" s="1"/>
      <c r="M55" s="1"/>
      <c r="N55" s="1"/>
      <c r="O55" s="1"/>
      <c r="P55" s="1"/>
      <c r="Q55" s="1"/>
      <c r="R55" s="1"/>
      <c r="S55" s="1"/>
      <c r="T55" s="1"/>
      <c r="U55" s="1"/>
      <c r="V55" s="1"/>
      <c r="W55" s="2"/>
      <c r="X55" s="1"/>
      <c r="Y55" s="96"/>
      <c r="Z55" s="1"/>
      <c r="AA55" s="1"/>
      <c r="AB55" s="1"/>
      <c r="AC55" s="2"/>
      <c r="AD55" s="1"/>
      <c r="AK55" s="1"/>
    </row>
    <row r="56" spans="5:37" ht="12.3" x14ac:dyDescent="0.4">
      <c r="E56" s="17"/>
      <c r="F56" s="23"/>
      <c r="I56" s="10"/>
      <c r="J56" s="1"/>
      <c r="K56" s="1"/>
      <c r="L56" s="1"/>
      <c r="M56" s="1"/>
      <c r="N56" s="1"/>
      <c r="O56" s="1"/>
      <c r="P56" s="1"/>
      <c r="Q56" s="1"/>
      <c r="R56" s="1"/>
      <c r="S56" s="1"/>
      <c r="T56" s="1"/>
      <c r="U56" s="1"/>
      <c r="V56" s="1"/>
      <c r="W56" s="2"/>
      <c r="X56" s="1"/>
      <c r="Y56" s="96"/>
      <c r="Z56" s="1"/>
      <c r="AA56" s="1"/>
      <c r="AB56" s="1"/>
      <c r="AC56" s="2"/>
      <c r="AD56" s="1"/>
      <c r="AK56" s="1"/>
    </row>
    <row r="57" spans="5:37" ht="12.3" x14ac:dyDescent="0.4">
      <c r="E57" s="21" t="s">
        <v>42</v>
      </c>
      <c r="F57" s="22">
        <f>C6/12*C3</f>
        <v>2520000.0000000005</v>
      </c>
      <c r="I57" s="10"/>
      <c r="J57" s="1"/>
      <c r="K57" s="1"/>
      <c r="L57" s="1"/>
      <c r="M57" s="1"/>
      <c r="N57" s="1"/>
      <c r="O57" s="1"/>
      <c r="P57" s="1"/>
      <c r="Q57" s="1"/>
      <c r="R57" s="1"/>
      <c r="S57" s="1"/>
      <c r="T57" s="1"/>
      <c r="U57" s="1"/>
      <c r="V57" s="1"/>
      <c r="W57" s="2"/>
      <c r="X57" s="1"/>
      <c r="Y57" s="96"/>
      <c r="Z57" s="1"/>
      <c r="AA57" s="1"/>
      <c r="AB57" s="1"/>
      <c r="AC57" s="2"/>
      <c r="AD57" s="1"/>
      <c r="AK57" s="1"/>
    </row>
    <row r="58" spans="5:37" ht="12.3" x14ac:dyDescent="0.4">
      <c r="E58" s="40" t="s">
        <v>43</v>
      </c>
      <c r="F58" s="73">
        <f>F57/F55</f>
        <v>1.9953810623556585</v>
      </c>
      <c r="I58" s="10"/>
      <c r="J58" s="1"/>
      <c r="K58" s="1"/>
      <c r="L58" s="1"/>
      <c r="M58" s="1"/>
      <c r="N58" s="1"/>
      <c r="O58" s="1"/>
      <c r="P58" s="1"/>
      <c r="Q58" s="1"/>
      <c r="R58" s="1"/>
      <c r="S58" s="1"/>
      <c r="T58" s="1"/>
      <c r="U58" s="1"/>
      <c r="V58" s="1"/>
      <c r="W58" s="2"/>
      <c r="X58" s="1"/>
      <c r="Y58" s="96"/>
      <c r="Z58" s="1"/>
      <c r="AA58" s="1"/>
      <c r="AB58" s="1"/>
      <c r="AC58" s="2"/>
      <c r="AD58" s="1"/>
      <c r="AK58" s="1"/>
    </row>
    <row r="59" spans="5:37" ht="12.3" x14ac:dyDescent="0.4">
      <c r="I59" s="10"/>
      <c r="J59" s="1"/>
      <c r="K59" s="1"/>
      <c r="L59" s="1"/>
      <c r="M59" s="1"/>
      <c r="N59" s="1"/>
      <c r="O59" s="1"/>
      <c r="P59" s="1"/>
      <c r="Q59" s="1"/>
      <c r="R59" s="1"/>
      <c r="S59" s="1"/>
      <c r="T59" s="1"/>
      <c r="U59" s="1"/>
      <c r="V59" s="1"/>
      <c r="W59" s="2"/>
      <c r="X59" s="1"/>
      <c r="Y59" s="96"/>
      <c r="Z59" s="1"/>
      <c r="AA59" s="1"/>
      <c r="AB59" s="1"/>
      <c r="AC59" s="2"/>
      <c r="AD59" s="1"/>
      <c r="AK59" s="1"/>
    </row>
  </sheetData>
  <mergeCells count="18">
    <mergeCell ref="Y1:AA1"/>
    <mergeCell ref="H34:H50"/>
    <mergeCell ref="H31:U31"/>
    <mergeCell ref="Y2:AA5"/>
    <mergeCell ref="AE1:AJ1"/>
    <mergeCell ref="H5:H21"/>
    <mergeCell ref="J3:U3"/>
    <mergeCell ref="H2:U2"/>
    <mergeCell ref="B1:U1"/>
    <mergeCell ref="B30:U30"/>
    <mergeCell ref="B2:C2"/>
    <mergeCell ref="E2:F2"/>
    <mergeCell ref="B31:C31"/>
    <mergeCell ref="E31:F31"/>
    <mergeCell ref="J32:U32"/>
    <mergeCell ref="AE2:AJ9"/>
    <mergeCell ref="AF12:AG12"/>
    <mergeCell ref="AH12:AI12"/>
  </mergeCells>
  <conditionalFormatting sqref="J5:U21">
    <cfRule type="cellIs" dxfId="1" priority="2" operator="lessThan">
      <formula>$C$5</formula>
    </cfRule>
    <cfRule type="colorScale" priority="4">
      <colorScale>
        <cfvo type="min"/>
        <cfvo type="percentile" val="50"/>
        <cfvo type="max"/>
        <color rgb="FF63BE7B"/>
        <color rgb="FFFFEB84"/>
        <color rgb="FFF8696B"/>
      </colorScale>
    </cfRule>
  </conditionalFormatting>
  <conditionalFormatting sqref="J34:U50">
    <cfRule type="cellIs" dxfId="0" priority="1" operator="lessThan">
      <formula>$C$33</formula>
    </cfRule>
    <cfRule type="colorScale" priority="3">
      <colorScale>
        <cfvo type="min"/>
        <cfvo type="percentile" val="50"/>
        <cfvo type="max"/>
        <color rgb="FF63BE7B"/>
        <color rgb="FFFFEB84"/>
        <color rgb="FFF8696B"/>
      </colorScale>
    </cfRule>
  </conditionalFormatting>
  <hyperlinks>
    <hyperlink ref="F28" location="'Advanced Calculator'!AE1" display="'Advanced Calculator'!AE1" xr:uid="{0BCAF3F9-8DC6-4998-A45B-3C795E28C2AF}"/>
    <hyperlink ref="F58" location="'Advanced Calculator'!AE1" display="'Advanced Calculator'!AE1" xr:uid="{6E822584-C23F-4DC9-B737-47FA9122882D}"/>
    <hyperlink ref="F21" location="'Advanced Calculator'!I4" display="'Advanced Calculator'!I4" xr:uid="{D75D2206-56A9-4EF6-B26E-EF4CEB6EB440}"/>
    <hyperlink ref="F51" location="'Advanced Calculator'!I33" display="'Advanced Calculator'!I33" xr:uid="{DAB85713-71AB-4DDF-86B7-3640CF57C554}"/>
  </hyperlink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Advanced Calculator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Cost of a Lost Sales Rep</dc:title>
  <dc:creator>Cliff Rosell</dc:creator>
  <cp:keywords>Calculator, Lost Sales Rep, Internal vs External</cp:keywords>
  <cp:lastModifiedBy>Martha Mathers</cp:lastModifiedBy>
  <dcterms:created xsi:type="dcterms:W3CDTF">2022-02-04T13:55:53Z</dcterms:created>
  <dcterms:modified xsi:type="dcterms:W3CDTF">2022-02-09T04:18:40Z</dcterms:modified>
  <cp:category>Calculator, Sales, Lost Sales Rep</cp:category>
</cp:coreProperties>
</file>