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Clients (Active)\Project Minerva (Content)\V2 Toolkit Final Content\Final Versions\Organizational Design and Coverage\"/>
    </mc:Choice>
  </mc:AlternateContent>
  <xr:revisionPtr revIDLastSave="0" documentId="13_ncr:1_{CA46EA4A-AAB9-41BC-B49A-886A7F0AD950}" xr6:coauthVersionLast="45" xr6:coauthVersionMax="45" xr10:uidLastSave="{00000000-0000-0000-0000-000000000000}"/>
  <bookViews>
    <workbookView xWindow="-108" yWindow="-108" windowWidth="23256" windowHeight="12720" activeTab="1" xr2:uid="{D031DACE-87C1-4C2F-8640-6034E12DD4B3}"/>
  </bookViews>
  <sheets>
    <sheet name="Tops Down" sheetId="1" r:id="rId1"/>
    <sheet name="Bottoms Up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4" i="2" l="1"/>
  <c r="H13" i="2" l="1"/>
  <c r="E18" i="2"/>
  <c r="E17" i="2"/>
  <c r="E16" i="2"/>
  <c r="E15" i="2"/>
  <c r="E13" i="2"/>
  <c r="C25" i="2"/>
  <c r="C28" i="2" s="1"/>
  <c r="C30" i="2" s="1"/>
  <c r="C24" i="2"/>
  <c r="J21" i="2"/>
  <c r="E14" i="2"/>
  <c r="I21" i="1"/>
  <c r="C25" i="1"/>
  <c r="C28" i="1" s="1"/>
  <c r="C30" i="1" s="1"/>
  <c r="H14" i="2" l="1"/>
  <c r="H15" i="2" s="1"/>
  <c r="H16" i="2" s="1"/>
  <c r="H17" i="2" s="1"/>
  <c r="J17" i="2" s="1"/>
  <c r="J13" i="2"/>
  <c r="I22" i="1"/>
  <c r="J22" i="2"/>
  <c r="C24" i="1"/>
  <c r="E15" i="1"/>
  <c r="E16" i="1"/>
  <c r="E17" i="1"/>
  <c r="E18" i="1"/>
  <c r="E14" i="1"/>
  <c r="C10" i="1"/>
  <c r="G13" i="1" s="1"/>
  <c r="G14" i="1" s="1"/>
  <c r="G15" i="1" s="1"/>
  <c r="G16" i="1" s="1"/>
  <c r="G17" i="1" s="1"/>
  <c r="G18" i="1" s="1"/>
  <c r="E19" i="1" l="1"/>
  <c r="J15" i="2"/>
  <c r="J14" i="2"/>
  <c r="J16" i="2"/>
  <c r="I13" i="1"/>
  <c r="I14" i="1" l="1"/>
  <c r="G18" i="2" l="1"/>
  <c r="H18" i="2" s="1"/>
  <c r="I15" i="1"/>
  <c r="J18" i="2" l="1"/>
  <c r="J20" i="2" s="1"/>
  <c r="J23" i="2" s="1"/>
  <c r="I16" i="1"/>
  <c r="I14" i="2" l="1"/>
  <c r="I13" i="2"/>
  <c r="I15" i="2"/>
  <c r="I16" i="2"/>
  <c r="I17" i="2"/>
  <c r="I18" i="2"/>
  <c r="I17" i="1"/>
  <c r="I18" i="1" l="1"/>
  <c r="I20" i="1" s="1"/>
  <c r="I23" i="1" s="1"/>
  <c r="H13" i="1" l="1"/>
  <c r="H14" i="1"/>
  <c r="H15" i="1"/>
  <c r="H16" i="1"/>
  <c r="H17" i="1"/>
  <c r="H18" i="1"/>
</calcChain>
</file>

<file path=xl/sharedStrings.xml><?xml version="1.0" encoding="utf-8"?>
<sst xmlns="http://schemas.openxmlformats.org/spreadsheetml/2006/main" count="168" uniqueCount="72">
  <si>
    <t>Sales Phase</t>
  </si>
  <si>
    <t>Accounts in Stage</t>
  </si>
  <si>
    <t>Hours Required</t>
  </si>
  <si>
    <t>Revenue Target</t>
  </si>
  <si>
    <t>Average Deal Size</t>
  </si>
  <si>
    <t>Number of Deals Won</t>
  </si>
  <si>
    <t>n/a</t>
  </si>
  <si>
    <t>Customer Interactions Per Account</t>
  </si>
  <si>
    <t>Total Selling Hours</t>
  </si>
  <si>
    <t>Selling Hours Required Per Account</t>
  </si>
  <si>
    <t>Stage to Stage Conversion Rate</t>
  </si>
  <si>
    <t>Accounts Per Rep in Stage</t>
  </si>
  <si>
    <t>6. Closed-Won</t>
  </si>
  <si>
    <t>5. Purchase</t>
  </si>
  <si>
    <t>4. Resolve Concerns</t>
  </si>
  <si>
    <t>3. Evaluate Options</t>
  </si>
  <si>
    <t>2. Identify Needs</t>
  </si>
  <si>
    <t>1. Recognize Needs</t>
  </si>
  <si>
    <t>Average Rep Selling Time</t>
  </si>
  <si>
    <t>Holidays</t>
  </si>
  <si>
    <t>Vacation</t>
  </si>
  <si>
    <t>Days Available</t>
  </si>
  <si>
    <t>Work Hours in a Day</t>
  </si>
  <si>
    <t>Hours Available</t>
  </si>
  <si>
    <t>Start of Fiscal Year</t>
  </si>
  <si>
    <t>End of Fiscal Year</t>
  </si>
  <si>
    <t>Number of Days in Year</t>
  </si>
  <si>
    <t>Number of Workdays in Year</t>
  </si>
  <si>
    <t>Total Available Hours in Year</t>
  </si>
  <si>
    <t>Account/Partner Planning</t>
  </si>
  <si>
    <t>Developing account plans, call plans, researching clients/prospects or conducting internal deal strategy.</t>
  </si>
  <si>
    <t>Negotiating &amp; Closing Opportunities</t>
  </si>
  <si>
    <t>Conversations/Meetings with Customers, Prospects or Partners on Terms and Conditions and Contract Signing.</t>
  </si>
  <si>
    <t>Opportunity Development</t>
  </si>
  <si>
    <t>Meeting (face to face or virtually) with Customers, Prospects or Partners to understand their needs and develop a suitable solution.</t>
  </si>
  <si>
    <t>Proposal &amp; Pricing Development</t>
  </si>
  <si>
    <t>Creating client or prospect proposals and pricing.</t>
  </si>
  <si>
    <t>Prospecting</t>
  </si>
  <si>
    <t>Calling/Emailing/Meeting prospects, new decision makers within current accounts/existing decision makers in current accounts</t>
  </si>
  <si>
    <t>Description</t>
  </si>
  <si>
    <t>Administrative Time</t>
  </si>
  <si>
    <t>CRM Lead and Activity Entry, Corporate / HR Requirements, Expense Reporting, Company-Wide Meetings, etc.</t>
  </si>
  <si>
    <t>Coaching</t>
  </si>
  <si>
    <t>Giving or Receiving Coaching to a Rep, Peer, or From a Manager</t>
  </si>
  <si>
    <t>Customer/Partner Onboarding &amp; Transfer</t>
  </si>
  <si>
    <t>Activities that ensure a smooth customer transition from the sale to implementation post-sale</t>
  </si>
  <si>
    <t>Customer Service Issue</t>
  </si>
  <si>
    <t>Responding to a Customer or Partner about an issue (Billing, Outage, etc.)</t>
  </si>
  <si>
    <t>Customer Success</t>
  </si>
  <si>
    <t>Internal meetings regarding an Opportunity, Account, or Sales Related Activity.</t>
  </si>
  <si>
    <t>Internal Sales Meetings</t>
  </si>
  <si>
    <t>Pipeline, Account Review, or Other Internal Conversations</t>
  </si>
  <si>
    <t>Training and Development</t>
  </si>
  <si>
    <t>Traveling</t>
  </si>
  <si>
    <t>Getting to/from Customers, Prospects or Partners for face-to-face meetings (non-productive travel time only).</t>
  </si>
  <si>
    <t>Selling</t>
  </si>
  <si>
    <t>Non-Selling</t>
  </si>
  <si>
    <t>Internal Sales Coordination</t>
  </si>
  <si>
    <t>Selling Time in Year</t>
  </si>
  <si>
    <t>Total Reps Required</t>
  </si>
  <si>
    <t>Annualized Accounts in Stage</t>
  </si>
  <si>
    <t>Expected Bookings</t>
  </si>
  <si>
    <t>Sales Stage</t>
  </si>
  <si>
    <t>Current Opportunities by Stage</t>
  </si>
  <si>
    <t>Activity</t>
  </si>
  <si>
    <t>% of Time in Week</t>
  </si>
  <si>
    <t>Classification</t>
  </si>
  <si>
    <t>Data Input Fields</t>
  </si>
  <si>
    <t>Calculated Fields</t>
  </si>
  <si>
    <t xml:space="preserve">Final Output </t>
  </si>
  <si>
    <t>Working with existing Customers or Partners to help them get the best value out of their investment.</t>
  </si>
  <si>
    <t>Internal Training and Development Activities.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</si>
</sst>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rgb="FF4C4846"/>
      <name val="Calibri"/>
      <family val="2"/>
    </font>
    <font>
      <b/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6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9" fontId="3" fillId="2" borderId="0" xfId="0" applyNumberFormat="1" applyFont="1" applyFill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 wrapText="1" readingOrder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 readingOrder="1"/>
    </xf>
    <xf numFmtId="9" fontId="3" fillId="2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2" borderId="0" xfId="0" applyFont="1" applyFill="1" applyBorder="1" applyAlignment="1">
      <alignment horizontal="right" vertical="center"/>
    </xf>
    <xf numFmtId="3" fontId="0" fillId="0" borderId="0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14" fontId="3" fillId="2" borderId="0" xfId="0" applyNumberFormat="1" applyFont="1" applyFill="1" applyAlignment="1">
      <alignment vertical="center"/>
    </xf>
    <xf numFmtId="6" fontId="3" fillId="2" borderId="0" xfId="0" applyNumberFormat="1" applyFont="1" applyFill="1" applyAlignment="1">
      <alignment vertical="center"/>
    </xf>
    <xf numFmtId="3" fontId="3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3" fontId="6" fillId="2" borderId="3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3" borderId="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7E500-33A9-4352-B8FA-AEFA9CF9CE31}">
  <dimension ref="B2:K47"/>
  <sheetViews>
    <sheetView showGridLines="0" topLeftCell="A26" workbookViewId="0">
      <selection activeCell="E34" sqref="E34:E47"/>
    </sheetView>
  </sheetViews>
  <sheetFormatPr defaultColWidth="8.88671875" defaultRowHeight="14.4" x14ac:dyDescent="0.3"/>
  <cols>
    <col min="1" max="1" width="8.88671875" style="12"/>
    <col min="2" max="2" width="34.33203125" style="2" bestFit="1" customWidth="1"/>
    <col min="3" max="9" width="18.6640625" style="2" customWidth="1"/>
    <col min="10" max="10" width="8.88671875" style="12"/>
    <col min="11" max="11" width="12.44140625" style="12" bestFit="1" customWidth="1"/>
    <col min="12" max="16384" width="8.88671875" style="12"/>
  </cols>
  <sheetData>
    <row r="2" spans="2:9" x14ac:dyDescent="0.3">
      <c r="B2" s="31" t="s">
        <v>67</v>
      </c>
    </row>
    <row r="3" spans="2:9" x14ac:dyDescent="0.3">
      <c r="B3" s="32" t="s">
        <v>68</v>
      </c>
    </row>
    <row r="4" spans="2:9" x14ac:dyDescent="0.3">
      <c r="B4" s="33" t="s">
        <v>69</v>
      </c>
    </row>
    <row r="6" spans="2:9" x14ac:dyDescent="0.3">
      <c r="B6" s="2" t="s">
        <v>24</v>
      </c>
      <c r="C6" s="24">
        <v>43831</v>
      </c>
    </row>
    <row r="7" spans="2:9" x14ac:dyDescent="0.3">
      <c r="B7" s="2" t="s">
        <v>25</v>
      </c>
      <c r="C7" s="24">
        <v>44196</v>
      </c>
    </row>
    <row r="8" spans="2:9" x14ac:dyDescent="0.3">
      <c r="B8" s="2" t="s">
        <v>3</v>
      </c>
      <c r="C8" s="25">
        <v>100000000</v>
      </c>
    </row>
    <row r="9" spans="2:9" x14ac:dyDescent="0.3">
      <c r="B9" s="2" t="s">
        <v>4</v>
      </c>
      <c r="C9" s="25">
        <v>75000</v>
      </c>
    </row>
    <row r="10" spans="2:9" x14ac:dyDescent="0.3">
      <c r="B10" s="2" t="s">
        <v>5</v>
      </c>
      <c r="C10" s="10">
        <f>IFERROR(C8/C9,"--")</f>
        <v>1333.3333333333333</v>
      </c>
    </row>
    <row r="11" spans="2:9" x14ac:dyDescent="0.3">
      <c r="C11" s="1"/>
    </row>
    <row r="12" spans="2:9" ht="41.4" x14ac:dyDescent="0.3">
      <c r="B12" s="13" t="s">
        <v>62</v>
      </c>
      <c r="C12" s="3" t="s">
        <v>7</v>
      </c>
      <c r="D12" s="3" t="s">
        <v>9</v>
      </c>
      <c r="E12" s="3" t="s">
        <v>8</v>
      </c>
      <c r="F12" s="3" t="s">
        <v>10</v>
      </c>
      <c r="G12" s="3" t="s">
        <v>1</v>
      </c>
      <c r="H12" s="3" t="s">
        <v>11</v>
      </c>
      <c r="I12" s="3" t="s">
        <v>2</v>
      </c>
    </row>
    <row r="13" spans="2:9" x14ac:dyDescent="0.3">
      <c r="B13" s="2" t="s">
        <v>12</v>
      </c>
      <c r="C13" s="4" t="s">
        <v>6</v>
      </c>
      <c r="D13" s="4" t="s">
        <v>6</v>
      </c>
      <c r="E13" s="4" t="s">
        <v>6</v>
      </c>
      <c r="F13" s="5">
        <v>1</v>
      </c>
      <c r="G13" s="7">
        <f>IFERROR($C$10/F13,"--")</f>
        <v>1333.3333333333333</v>
      </c>
      <c r="H13" s="6">
        <f>IFERROR(G13/$I$23,"--")</f>
        <v>19.047619047619047</v>
      </c>
      <c r="I13" s="7">
        <f>IFERROR(E13*G13,0)</f>
        <v>0</v>
      </c>
    </row>
    <row r="14" spans="2:9" x14ac:dyDescent="0.3">
      <c r="B14" s="2" t="s">
        <v>13</v>
      </c>
      <c r="C14" s="8">
        <v>1</v>
      </c>
      <c r="D14" s="8">
        <v>3</v>
      </c>
      <c r="E14" s="4">
        <f>IFERROR(C14*D14,"--")</f>
        <v>3</v>
      </c>
      <c r="F14" s="9">
        <v>0.95</v>
      </c>
      <c r="G14" s="7">
        <f>IFERROR(G13/F14,"--")</f>
        <v>1403.5087719298244</v>
      </c>
      <c r="H14" s="6">
        <f t="shared" ref="H14:H18" si="0">IFERROR(G14/$I$23,"--")</f>
        <v>20.050125313283207</v>
      </c>
      <c r="I14" s="7">
        <f t="shared" ref="I14:I18" si="1">IFERROR(E14*G14,0)</f>
        <v>4210.5263157894733</v>
      </c>
    </row>
    <row r="15" spans="2:9" x14ac:dyDescent="0.3">
      <c r="B15" s="2" t="s">
        <v>14</v>
      </c>
      <c r="C15" s="8">
        <v>1</v>
      </c>
      <c r="D15" s="8">
        <v>3</v>
      </c>
      <c r="E15" s="4">
        <f t="shared" ref="E15:E18" si="2">IFERROR(C15*D15,"--")</f>
        <v>3</v>
      </c>
      <c r="F15" s="9">
        <v>0.75</v>
      </c>
      <c r="G15" s="7">
        <f>IFERROR(G14/F15,"--")</f>
        <v>1871.3450292397658</v>
      </c>
      <c r="H15" s="6">
        <f t="shared" si="0"/>
        <v>26.733500417710939</v>
      </c>
      <c r="I15" s="7">
        <f t="shared" si="1"/>
        <v>5614.0350877192977</v>
      </c>
    </row>
    <row r="16" spans="2:9" x14ac:dyDescent="0.3">
      <c r="B16" s="2" t="s">
        <v>15</v>
      </c>
      <c r="C16" s="8">
        <v>1</v>
      </c>
      <c r="D16" s="8">
        <v>3</v>
      </c>
      <c r="E16" s="4">
        <f t="shared" si="2"/>
        <v>3</v>
      </c>
      <c r="F16" s="9">
        <v>0.65</v>
      </c>
      <c r="G16" s="7">
        <f>IFERROR(G15/F16,"--")</f>
        <v>2878.9923526765629</v>
      </c>
      <c r="H16" s="6">
        <f t="shared" si="0"/>
        <v>41.128462181093752</v>
      </c>
      <c r="I16" s="7">
        <f t="shared" si="1"/>
        <v>8636.9770580296881</v>
      </c>
    </row>
    <row r="17" spans="2:11" x14ac:dyDescent="0.3">
      <c r="B17" s="2" t="s">
        <v>16</v>
      </c>
      <c r="C17" s="8">
        <v>1</v>
      </c>
      <c r="D17" s="8">
        <v>3</v>
      </c>
      <c r="E17" s="4">
        <f t="shared" si="2"/>
        <v>3</v>
      </c>
      <c r="F17" s="9">
        <v>0.5</v>
      </c>
      <c r="G17" s="7">
        <f>IFERROR(G16/F17,"--")</f>
        <v>5757.9847053531257</v>
      </c>
      <c r="H17" s="6">
        <f t="shared" si="0"/>
        <v>82.256924362187505</v>
      </c>
      <c r="I17" s="7">
        <f t="shared" si="1"/>
        <v>17273.954116059376</v>
      </c>
    </row>
    <row r="18" spans="2:11" x14ac:dyDescent="0.3">
      <c r="B18" s="2" t="s">
        <v>17</v>
      </c>
      <c r="C18" s="8">
        <v>1</v>
      </c>
      <c r="D18" s="8">
        <v>3</v>
      </c>
      <c r="E18" s="4">
        <f t="shared" si="2"/>
        <v>3</v>
      </c>
      <c r="F18" s="9">
        <v>0.4</v>
      </c>
      <c r="G18" s="7">
        <f>IFERROR(G17/F18,"--")</f>
        <v>14394.961763382813</v>
      </c>
      <c r="H18" s="6">
        <f t="shared" si="0"/>
        <v>205.64231090546875</v>
      </c>
      <c r="I18" s="7">
        <f t="shared" si="1"/>
        <v>43184.885290148435</v>
      </c>
    </row>
    <row r="19" spans="2:11" x14ac:dyDescent="0.3">
      <c r="D19" s="4"/>
      <c r="E19" s="4">
        <f>SUM(E13:E18)</f>
        <v>15</v>
      </c>
    </row>
    <row r="20" spans="2:11" x14ac:dyDescent="0.3">
      <c r="H20" s="11" t="s">
        <v>8</v>
      </c>
      <c r="I20" s="7">
        <f>SUM(I13:I18)</f>
        <v>78920.377867746269</v>
      </c>
    </row>
    <row r="21" spans="2:11" x14ac:dyDescent="0.3">
      <c r="H21" s="11" t="s">
        <v>18</v>
      </c>
      <c r="I21" s="5">
        <f>IFERROR(SUMIFS($C$34:$C$47,$D$34:$D$47,"Selling"),"--")</f>
        <v>0.6</v>
      </c>
    </row>
    <row r="22" spans="2:11" ht="15" thickBot="1" x14ac:dyDescent="0.35">
      <c r="H22" s="11" t="s">
        <v>58</v>
      </c>
      <c r="I22" s="7">
        <f>IFERROR(I21*C30,"--")</f>
        <v>1137.5999999999999</v>
      </c>
    </row>
    <row r="23" spans="2:11" ht="15" thickBot="1" x14ac:dyDescent="0.35">
      <c r="B23" s="14" t="s">
        <v>28</v>
      </c>
      <c r="H23" s="28" t="s">
        <v>59</v>
      </c>
      <c r="I23" s="29">
        <f>IFERROR(ROUNDUP(I20/I22,0),"--")</f>
        <v>70</v>
      </c>
      <c r="K23" s="30"/>
    </row>
    <row r="24" spans="2:11" x14ac:dyDescent="0.3">
      <c r="B24" s="19" t="s">
        <v>26</v>
      </c>
      <c r="C24" s="20">
        <f>IFERROR(_xlfn.DAYS(C$7,C$6),"--")</f>
        <v>365</v>
      </c>
      <c r="D24" s="12"/>
      <c r="E24" s="12"/>
      <c r="H24"/>
      <c r="I24"/>
    </row>
    <row r="25" spans="2:11" x14ac:dyDescent="0.3">
      <c r="B25" s="19" t="s">
        <v>27</v>
      </c>
      <c r="C25" s="20">
        <f>IFERROR(NETWORKDAYS(C6,C7),"--")</f>
        <v>262</v>
      </c>
      <c r="D25" s="12"/>
      <c r="E25" s="12"/>
    </row>
    <row r="26" spans="2:11" x14ac:dyDescent="0.3">
      <c r="B26" s="19" t="s">
        <v>19</v>
      </c>
      <c r="C26" s="21">
        <v>10</v>
      </c>
      <c r="D26" s="12"/>
      <c r="E26" s="12"/>
    </row>
    <row r="27" spans="2:11" x14ac:dyDescent="0.3">
      <c r="B27" s="19" t="s">
        <v>20</v>
      </c>
      <c r="C27" s="21">
        <v>15</v>
      </c>
      <c r="D27" s="12"/>
      <c r="E27" s="12"/>
    </row>
    <row r="28" spans="2:11" x14ac:dyDescent="0.3">
      <c r="B28" s="19" t="s">
        <v>21</v>
      </c>
      <c r="C28" s="20">
        <f>IFERROR(C25-C26-C27,"--")</f>
        <v>237</v>
      </c>
      <c r="D28" s="12"/>
      <c r="E28" s="12"/>
    </row>
    <row r="29" spans="2:11" x14ac:dyDescent="0.3">
      <c r="B29" s="19" t="s">
        <v>22</v>
      </c>
      <c r="C29" s="21">
        <v>8</v>
      </c>
      <c r="D29" s="12"/>
      <c r="E29" s="12"/>
    </row>
    <row r="30" spans="2:11" x14ac:dyDescent="0.3">
      <c r="B30" s="19" t="s">
        <v>23</v>
      </c>
      <c r="C30" s="22">
        <f>IFERROR(C28*C29,"--")</f>
        <v>1896</v>
      </c>
      <c r="D30" s="12"/>
      <c r="E30" s="12"/>
    </row>
    <row r="32" spans="2:11" x14ac:dyDescent="0.3">
      <c r="B32" s="14" t="s">
        <v>28</v>
      </c>
    </row>
    <row r="33" spans="2:5" x14ac:dyDescent="0.3">
      <c r="B33" s="14" t="s">
        <v>64</v>
      </c>
      <c r="C33" s="27" t="s">
        <v>65</v>
      </c>
      <c r="D33" s="23" t="s">
        <v>66</v>
      </c>
      <c r="E33" s="23" t="s">
        <v>39</v>
      </c>
    </row>
    <row r="34" spans="2:5" x14ac:dyDescent="0.3">
      <c r="B34" s="15" t="s">
        <v>29</v>
      </c>
      <c r="C34" s="18">
        <v>0.12</v>
      </c>
      <c r="D34" s="16" t="s">
        <v>55</v>
      </c>
      <c r="E34" s="17" t="s">
        <v>30</v>
      </c>
    </row>
    <row r="35" spans="2:5" x14ac:dyDescent="0.3">
      <c r="B35" s="15" t="s">
        <v>31</v>
      </c>
      <c r="C35" s="18">
        <v>0.12</v>
      </c>
      <c r="D35" s="16" t="s">
        <v>55</v>
      </c>
      <c r="E35" s="17" t="s">
        <v>32</v>
      </c>
    </row>
    <row r="36" spans="2:5" x14ac:dyDescent="0.3">
      <c r="B36" s="15" t="s">
        <v>33</v>
      </c>
      <c r="C36" s="18">
        <v>0.12</v>
      </c>
      <c r="D36" s="16" t="s">
        <v>55</v>
      </c>
      <c r="E36" s="17" t="s">
        <v>34</v>
      </c>
    </row>
    <row r="37" spans="2:5" x14ac:dyDescent="0.3">
      <c r="B37" s="15" t="s">
        <v>35</v>
      </c>
      <c r="C37" s="18">
        <v>0.12</v>
      </c>
      <c r="D37" s="16" t="s">
        <v>55</v>
      </c>
      <c r="E37" s="17" t="s">
        <v>36</v>
      </c>
    </row>
    <row r="38" spans="2:5" x14ac:dyDescent="0.3">
      <c r="B38" s="15" t="s">
        <v>37</v>
      </c>
      <c r="C38" s="18">
        <v>0.12</v>
      </c>
      <c r="D38" s="16" t="s">
        <v>55</v>
      </c>
      <c r="E38" s="17" t="s">
        <v>38</v>
      </c>
    </row>
    <row r="39" spans="2:5" x14ac:dyDescent="0.3">
      <c r="B39" s="15" t="s">
        <v>40</v>
      </c>
      <c r="C39" s="18">
        <v>0.04</v>
      </c>
      <c r="D39" s="16" t="s">
        <v>56</v>
      </c>
      <c r="E39" s="17" t="s">
        <v>41</v>
      </c>
    </row>
    <row r="40" spans="2:5" x14ac:dyDescent="0.3">
      <c r="B40" s="15" t="s">
        <v>42</v>
      </c>
      <c r="C40" s="18">
        <v>0.04</v>
      </c>
      <c r="D40" s="16" t="s">
        <v>56</v>
      </c>
      <c r="E40" s="17" t="s">
        <v>43</v>
      </c>
    </row>
    <row r="41" spans="2:5" x14ac:dyDescent="0.3">
      <c r="B41" s="15" t="s">
        <v>44</v>
      </c>
      <c r="C41" s="18">
        <v>0.04</v>
      </c>
      <c r="D41" s="16" t="s">
        <v>56</v>
      </c>
      <c r="E41" s="17" t="s">
        <v>45</v>
      </c>
    </row>
    <row r="42" spans="2:5" x14ac:dyDescent="0.3">
      <c r="B42" s="15" t="s">
        <v>46</v>
      </c>
      <c r="C42" s="18">
        <v>0.04</v>
      </c>
      <c r="D42" s="16" t="s">
        <v>56</v>
      </c>
      <c r="E42" s="17" t="s">
        <v>47</v>
      </c>
    </row>
    <row r="43" spans="2:5" x14ac:dyDescent="0.3">
      <c r="B43" s="15" t="s">
        <v>48</v>
      </c>
      <c r="C43" s="18">
        <v>0.04</v>
      </c>
      <c r="D43" s="16" t="s">
        <v>56</v>
      </c>
      <c r="E43" s="17" t="s">
        <v>70</v>
      </c>
    </row>
    <row r="44" spans="2:5" x14ac:dyDescent="0.3">
      <c r="B44" s="15" t="s">
        <v>57</v>
      </c>
      <c r="C44" s="18">
        <v>0.04</v>
      </c>
      <c r="D44" s="16" t="s">
        <v>56</v>
      </c>
      <c r="E44" s="17" t="s">
        <v>49</v>
      </c>
    </row>
    <row r="45" spans="2:5" x14ac:dyDescent="0.3">
      <c r="B45" s="15" t="s">
        <v>50</v>
      </c>
      <c r="C45" s="18">
        <v>0.04</v>
      </c>
      <c r="D45" s="16" t="s">
        <v>56</v>
      </c>
      <c r="E45" s="17" t="s">
        <v>51</v>
      </c>
    </row>
    <row r="46" spans="2:5" x14ac:dyDescent="0.3">
      <c r="B46" s="15" t="s">
        <v>52</v>
      </c>
      <c r="C46" s="18">
        <v>0.04</v>
      </c>
      <c r="D46" s="16" t="s">
        <v>56</v>
      </c>
      <c r="E46" s="17" t="s">
        <v>71</v>
      </c>
    </row>
    <row r="47" spans="2:5" x14ac:dyDescent="0.3">
      <c r="B47" s="15" t="s">
        <v>53</v>
      </c>
      <c r="C47" s="18">
        <v>0.08</v>
      </c>
      <c r="D47" s="16" t="s">
        <v>56</v>
      </c>
      <c r="E47" s="17" t="s">
        <v>54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0EF5C-895E-4B69-B4B7-5A2BFE2E0208}">
  <dimension ref="B2:J47"/>
  <sheetViews>
    <sheetView showGridLines="0" tabSelected="1" workbookViewId="0">
      <selection activeCell="E9" sqref="E9"/>
    </sheetView>
  </sheetViews>
  <sheetFormatPr defaultColWidth="8.88671875" defaultRowHeight="14.4" x14ac:dyDescent="0.3"/>
  <cols>
    <col min="1" max="1" width="8.88671875" style="12"/>
    <col min="2" max="2" width="34.33203125" style="2" bestFit="1" customWidth="1"/>
    <col min="3" max="10" width="18.6640625" style="2" customWidth="1"/>
    <col min="11" max="16384" width="8.88671875" style="12"/>
  </cols>
  <sheetData>
    <row r="2" spans="2:10" x14ac:dyDescent="0.3">
      <c r="B2" s="31" t="s">
        <v>67</v>
      </c>
    </row>
    <row r="3" spans="2:10" x14ac:dyDescent="0.3">
      <c r="B3" s="32" t="s">
        <v>68</v>
      </c>
    </row>
    <row r="4" spans="2:10" x14ac:dyDescent="0.3">
      <c r="B4" s="33" t="s">
        <v>69</v>
      </c>
    </row>
    <row r="7" spans="2:10" x14ac:dyDescent="0.3">
      <c r="B7" s="2" t="s">
        <v>24</v>
      </c>
      <c r="C7" s="24">
        <v>43831</v>
      </c>
      <c r="E7"/>
    </row>
    <row r="8" spans="2:10" x14ac:dyDescent="0.3">
      <c r="B8" s="2" t="s">
        <v>25</v>
      </c>
      <c r="C8" s="24">
        <v>44196</v>
      </c>
      <c r="E8"/>
    </row>
    <row r="9" spans="2:10" x14ac:dyDescent="0.3">
      <c r="B9" s="2" t="s">
        <v>3</v>
      </c>
      <c r="C9" s="25">
        <v>100000000</v>
      </c>
      <c r="E9"/>
    </row>
    <row r="10" spans="2:10" x14ac:dyDescent="0.3">
      <c r="B10" s="2" t="s">
        <v>4</v>
      </c>
      <c r="C10" s="25">
        <v>75000</v>
      </c>
      <c r="E10"/>
    </row>
    <row r="11" spans="2:10" x14ac:dyDescent="0.3">
      <c r="C11" s="1"/>
    </row>
    <row r="12" spans="2:10" ht="41.4" x14ac:dyDescent="0.3">
      <c r="B12" s="13" t="s">
        <v>0</v>
      </c>
      <c r="C12" s="3" t="s">
        <v>7</v>
      </c>
      <c r="D12" s="3" t="s">
        <v>9</v>
      </c>
      <c r="E12" s="3" t="s">
        <v>8</v>
      </c>
      <c r="F12" s="3" t="s">
        <v>10</v>
      </c>
      <c r="G12" s="3" t="s">
        <v>63</v>
      </c>
      <c r="H12" s="3" t="s">
        <v>60</v>
      </c>
      <c r="I12" s="3" t="s">
        <v>11</v>
      </c>
      <c r="J12" s="3" t="s">
        <v>2</v>
      </c>
    </row>
    <row r="13" spans="2:10" x14ac:dyDescent="0.3">
      <c r="B13" s="2" t="s">
        <v>17</v>
      </c>
      <c r="C13" s="8">
        <v>3</v>
      </c>
      <c r="D13" s="8">
        <v>6</v>
      </c>
      <c r="E13" s="4">
        <f t="shared" ref="E13" si="0">IFERROR(C13*D13,"--")</f>
        <v>18</v>
      </c>
      <c r="F13" s="9">
        <v>0.4</v>
      </c>
      <c r="G13" s="26">
        <v>3000</v>
      </c>
      <c r="H13" s="7">
        <f>G13</f>
        <v>3000</v>
      </c>
      <c r="I13" s="6">
        <f>IFERROR(G13/$J$23,"--")</f>
        <v>16.483516483516482</v>
      </c>
      <c r="J13" s="7">
        <f>IFERROR(E13*H13,0)</f>
        <v>54000</v>
      </c>
    </row>
    <row r="14" spans="2:10" x14ac:dyDescent="0.3">
      <c r="B14" s="2" t="s">
        <v>16</v>
      </c>
      <c r="C14" s="8">
        <v>4</v>
      </c>
      <c r="D14" s="8">
        <v>6</v>
      </c>
      <c r="E14" s="4">
        <f>IFERROR(C14*D14,"--")</f>
        <v>24</v>
      </c>
      <c r="F14" s="9">
        <v>0.5</v>
      </c>
      <c r="G14" s="26">
        <v>1500</v>
      </c>
      <c r="H14" s="7">
        <f>G14+H13*F13</f>
        <v>2700</v>
      </c>
      <c r="I14" s="6">
        <f t="shared" ref="I14:I18" si="1">IFERROR(G14/$J$23,"--")</f>
        <v>8.2417582417582409</v>
      </c>
      <c r="J14" s="7">
        <f t="shared" ref="J14:J18" si="2">IFERROR(E14*H14,0)</f>
        <v>64800</v>
      </c>
    </row>
    <row r="15" spans="2:10" x14ac:dyDescent="0.3">
      <c r="B15" s="2" t="s">
        <v>15</v>
      </c>
      <c r="C15" s="8">
        <v>3</v>
      </c>
      <c r="D15" s="8">
        <v>6</v>
      </c>
      <c r="E15" s="4">
        <f t="shared" ref="E15:E18" si="3">IFERROR(C15*D15,"--")</f>
        <v>18</v>
      </c>
      <c r="F15" s="9">
        <v>0.6</v>
      </c>
      <c r="G15" s="26">
        <v>375</v>
      </c>
      <c r="H15" s="7">
        <f>G15+H14*F14</f>
        <v>1725</v>
      </c>
      <c r="I15" s="6">
        <f t="shared" si="1"/>
        <v>2.0604395604395602</v>
      </c>
      <c r="J15" s="7">
        <f t="shared" si="2"/>
        <v>31050</v>
      </c>
    </row>
    <row r="16" spans="2:10" x14ac:dyDescent="0.3">
      <c r="B16" s="2" t="s">
        <v>14</v>
      </c>
      <c r="C16" s="8">
        <v>5</v>
      </c>
      <c r="D16" s="8">
        <v>8</v>
      </c>
      <c r="E16" s="4">
        <f t="shared" si="3"/>
        <v>40</v>
      </c>
      <c r="F16" s="9">
        <v>0.75</v>
      </c>
      <c r="G16" s="26">
        <v>200</v>
      </c>
      <c r="H16" s="7">
        <f t="shared" ref="H16:H18" si="4">G16+H15*F15</f>
        <v>1235</v>
      </c>
      <c r="I16" s="6">
        <f t="shared" si="1"/>
        <v>1.098901098901099</v>
      </c>
      <c r="J16" s="7">
        <f t="shared" si="2"/>
        <v>49400</v>
      </c>
    </row>
    <row r="17" spans="2:10" x14ac:dyDescent="0.3">
      <c r="B17" s="2" t="s">
        <v>13</v>
      </c>
      <c r="C17" s="8">
        <v>3</v>
      </c>
      <c r="D17" s="8">
        <v>2</v>
      </c>
      <c r="E17" s="4">
        <f t="shared" si="3"/>
        <v>6</v>
      </c>
      <c r="F17" s="9">
        <v>0.95</v>
      </c>
      <c r="G17" s="26">
        <v>200</v>
      </c>
      <c r="H17" s="7">
        <f t="shared" si="4"/>
        <v>1126.25</v>
      </c>
      <c r="I17" s="6">
        <f t="shared" si="1"/>
        <v>1.098901098901099</v>
      </c>
      <c r="J17" s="7">
        <f t="shared" si="2"/>
        <v>6757.5</v>
      </c>
    </row>
    <row r="18" spans="2:10" x14ac:dyDescent="0.3">
      <c r="B18" s="2" t="s">
        <v>12</v>
      </c>
      <c r="C18" s="4" t="s">
        <v>6</v>
      </c>
      <c r="D18" s="4" t="s">
        <v>6</v>
      </c>
      <c r="E18" s="4" t="str">
        <f t="shared" si="3"/>
        <v>--</v>
      </c>
      <c r="F18" s="5">
        <v>1</v>
      </c>
      <c r="G18" s="7">
        <f t="shared" ref="G18" si="5">IFERROR(G17/F18,"--")</f>
        <v>200</v>
      </c>
      <c r="H18" s="7">
        <f t="shared" si="4"/>
        <v>1269.9375</v>
      </c>
      <c r="I18" s="6">
        <f t="shared" si="1"/>
        <v>1.098901098901099</v>
      </c>
      <c r="J18" s="7">
        <f t="shared" si="2"/>
        <v>0</v>
      </c>
    </row>
    <row r="20" spans="2:10" x14ac:dyDescent="0.3">
      <c r="I20" s="11" t="s">
        <v>8</v>
      </c>
      <c r="J20" s="7">
        <f>SUM(J13:J18)</f>
        <v>206007.5</v>
      </c>
    </row>
    <row r="21" spans="2:10" x14ac:dyDescent="0.3">
      <c r="I21" s="11" t="s">
        <v>18</v>
      </c>
      <c r="J21" s="5">
        <f>IFERROR(SUMIFS($C$34:$C$47,$D$34:$D$47,"Selling"),"--")</f>
        <v>0.6</v>
      </c>
    </row>
    <row r="22" spans="2:10" x14ac:dyDescent="0.3">
      <c r="I22" s="11" t="s">
        <v>58</v>
      </c>
      <c r="J22" s="7">
        <f>IFERROR(J21*C30,"--")</f>
        <v>1137.5999999999999</v>
      </c>
    </row>
    <row r="23" spans="2:10" ht="15" thickBot="1" x14ac:dyDescent="0.35">
      <c r="B23" s="14" t="s">
        <v>28</v>
      </c>
      <c r="I23" s="11" t="s">
        <v>59</v>
      </c>
      <c r="J23" s="7">
        <f>IFERROR(ROUNDUP(J20/J22,0),"--")</f>
        <v>182</v>
      </c>
    </row>
    <row r="24" spans="2:10" ht="15" thickBot="1" x14ac:dyDescent="0.35">
      <c r="B24" s="19" t="s">
        <v>26</v>
      </c>
      <c r="C24" s="20">
        <f>IFERROR(_xlfn.DAYS(C$8,C$7),"--")</f>
        <v>365</v>
      </c>
      <c r="D24" s="12"/>
      <c r="E24" s="12"/>
      <c r="I24" s="28" t="s">
        <v>61</v>
      </c>
      <c r="J24" s="29">
        <f>IFERROR(H18*C10,"--")</f>
        <v>95245312.5</v>
      </c>
    </row>
    <row r="25" spans="2:10" x14ac:dyDescent="0.3">
      <c r="B25" s="19" t="s">
        <v>27</v>
      </c>
      <c r="C25" s="20">
        <f>IFERROR(NETWORKDAYS(C7,C8),"--")</f>
        <v>262</v>
      </c>
      <c r="D25" s="12"/>
      <c r="E25" s="12"/>
    </row>
    <row r="26" spans="2:10" x14ac:dyDescent="0.3">
      <c r="B26" s="19" t="s">
        <v>19</v>
      </c>
      <c r="C26" s="21">
        <v>10</v>
      </c>
      <c r="D26" s="12"/>
      <c r="E26" s="12"/>
    </row>
    <row r="27" spans="2:10" x14ac:dyDescent="0.3">
      <c r="B27" s="19" t="s">
        <v>20</v>
      </c>
      <c r="C27" s="21">
        <v>15</v>
      </c>
      <c r="D27" s="12"/>
      <c r="E27" s="12"/>
    </row>
    <row r="28" spans="2:10" x14ac:dyDescent="0.3">
      <c r="B28" s="19" t="s">
        <v>21</v>
      </c>
      <c r="C28" s="20">
        <f>IFERROR(C25-C26-C27,"--")</f>
        <v>237</v>
      </c>
      <c r="D28" s="12"/>
      <c r="E28" s="12"/>
    </row>
    <row r="29" spans="2:10" x14ac:dyDescent="0.3">
      <c r="B29" s="19" t="s">
        <v>22</v>
      </c>
      <c r="C29" s="21">
        <v>8</v>
      </c>
      <c r="D29" s="12"/>
      <c r="E29" s="12"/>
    </row>
    <row r="30" spans="2:10" x14ac:dyDescent="0.3">
      <c r="B30" s="19" t="s">
        <v>23</v>
      </c>
      <c r="C30" s="22">
        <f>IFERROR(C28*C29,"--")</f>
        <v>1896</v>
      </c>
      <c r="D30" s="12"/>
      <c r="E30" s="12"/>
    </row>
    <row r="32" spans="2:10" x14ac:dyDescent="0.3">
      <c r="B32" s="14" t="s">
        <v>28</v>
      </c>
    </row>
    <row r="33" spans="2:5" x14ac:dyDescent="0.3">
      <c r="B33" s="14" t="s">
        <v>64</v>
      </c>
      <c r="C33" s="27" t="s">
        <v>65</v>
      </c>
      <c r="D33" s="23" t="s">
        <v>66</v>
      </c>
      <c r="E33" s="23" t="s">
        <v>39</v>
      </c>
    </row>
    <row r="34" spans="2:5" x14ac:dyDescent="0.3">
      <c r="B34" s="15" t="s">
        <v>29</v>
      </c>
      <c r="C34" s="18">
        <v>0.12</v>
      </c>
      <c r="D34" s="16" t="s">
        <v>55</v>
      </c>
      <c r="E34" s="17" t="s">
        <v>30</v>
      </c>
    </row>
    <row r="35" spans="2:5" x14ac:dyDescent="0.3">
      <c r="B35" s="15" t="s">
        <v>31</v>
      </c>
      <c r="C35" s="18">
        <v>0.12</v>
      </c>
      <c r="D35" s="16" t="s">
        <v>55</v>
      </c>
      <c r="E35" s="17" t="s">
        <v>32</v>
      </c>
    </row>
    <row r="36" spans="2:5" x14ac:dyDescent="0.3">
      <c r="B36" s="15" t="s">
        <v>33</v>
      </c>
      <c r="C36" s="18">
        <v>0.12</v>
      </c>
      <c r="D36" s="16" t="s">
        <v>55</v>
      </c>
      <c r="E36" s="17" t="s">
        <v>34</v>
      </c>
    </row>
    <row r="37" spans="2:5" x14ac:dyDescent="0.3">
      <c r="B37" s="15" t="s">
        <v>35</v>
      </c>
      <c r="C37" s="18">
        <v>0.12</v>
      </c>
      <c r="D37" s="16" t="s">
        <v>55</v>
      </c>
      <c r="E37" s="17" t="s">
        <v>36</v>
      </c>
    </row>
    <row r="38" spans="2:5" x14ac:dyDescent="0.3">
      <c r="B38" s="15" t="s">
        <v>37</v>
      </c>
      <c r="C38" s="18">
        <v>0.12</v>
      </c>
      <c r="D38" s="16" t="s">
        <v>55</v>
      </c>
      <c r="E38" s="17" t="s">
        <v>38</v>
      </c>
    </row>
    <row r="39" spans="2:5" x14ac:dyDescent="0.3">
      <c r="B39" s="15" t="s">
        <v>40</v>
      </c>
      <c r="C39" s="18">
        <v>0.04</v>
      </c>
      <c r="D39" s="16" t="s">
        <v>56</v>
      </c>
      <c r="E39" s="17" t="s">
        <v>41</v>
      </c>
    </row>
    <row r="40" spans="2:5" x14ac:dyDescent="0.3">
      <c r="B40" s="15" t="s">
        <v>42</v>
      </c>
      <c r="C40" s="18">
        <v>0.04</v>
      </c>
      <c r="D40" s="16" t="s">
        <v>56</v>
      </c>
      <c r="E40" s="17" t="s">
        <v>43</v>
      </c>
    </row>
    <row r="41" spans="2:5" x14ac:dyDescent="0.3">
      <c r="B41" s="15" t="s">
        <v>44</v>
      </c>
      <c r="C41" s="18">
        <v>0.04</v>
      </c>
      <c r="D41" s="16" t="s">
        <v>56</v>
      </c>
      <c r="E41" s="17" t="s">
        <v>45</v>
      </c>
    </row>
    <row r="42" spans="2:5" x14ac:dyDescent="0.3">
      <c r="B42" s="15" t="s">
        <v>46</v>
      </c>
      <c r="C42" s="18">
        <v>0.04</v>
      </c>
      <c r="D42" s="16" t="s">
        <v>56</v>
      </c>
      <c r="E42" s="17" t="s">
        <v>47</v>
      </c>
    </row>
    <row r="43" spans="2:5" x14ac:dyDescent="0.3">
      <c r="B43" s="15" t="s">
        <v>48</v>
      </c>
      <c r="C43" s="18">
        <v>0.04</v>
      </c>
      <c r="D43" s="16" t="s">
        <v>56</v>
      </c>
      <c r="E43" s="17" t="s">
        <v>70</v>
      </c>
    </row>
    <row r="44" spans="2:5" x14ac:dyDescent="0.3">
      <c r="B44" s="15" t="s">
        <v>57</v>
      </c>
      <c r="C44" s="18">
        <v>0.04</v>
      </c>
      <c r="D44" s="16" t="s">
        <v>56</v>
      </c>
      <c r="E44" s="17" t="s">
        <v>49</v>
      </c>
    </row>
    <row r="45" spans="2:5" x14ac:dyDescent="0.3">
      <c r="B45" s="15" t="s">
        <v>50</v>
      </c>
      <c r="C45" s="18">
        <v>0.04</v>
      </c>
      <c r="D45" s="16" t="s">
        <v>56</v>
      </c>
      <c r="E45" s="17" t="s">
        <v>51</v>
      </c>
    </row>
    <row r="46" spans="2:5" x14ac:dyDescent="0.3">
      <c r="B46" s="15" t="s">
        <v>52</v>
      </c>
      <c r="C46" s="18">
        <v>0.04</v>
      </c>
      <c r="D46" s="16" t="s">
        <v>56</v>
      </c>
      <c r="E46" s="17" t="s">
        <v>71</v>
      </c>
    </row>
    <row r="47" spans="2:5" x14ac:dyDescent="0.3">
      <c r="B47" s="15" t="s">
        <v>53</v>
      </c>
      <c r="C47" s="18">
        <v>0.08</v>
      </c>
      <c r="D47" s="16" t="s">
        <v>56</v>
      </c>
      <c r="E47" s="17" t="s">
        <v>54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Tops Down</vt:lpstr>
      <vt:lpstr>Bottoms 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2020-05-15T13:43:09Z</dcterms:created>
  <dcterms:modified xsi:type="dcterms:W3CDTF">2020-05-29T17:20:37Z</dcterms:modified>
</cp:coreProperties>
</file>